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220.180\ngo\2025 Pożyczki dla PES\04_WZORY DOKUMENTÓW\Wniosek o pożyczkę_Spraw. wzór 1 porów\"/>
    </mc:Choice>
  </mc:AlternateContent>
  <xr:revisionPtr revIDLastSave="0" documentId="13_ncr:1_{879A4BD9-56B7-4375-B543-1E6251D13FC8}" xr6:coauthVersionLast="47" xr6:coauthVersionMax="47" xr10:uidLastSave="{00000000-0000-0000-0000-000000000000}"/>
  <workbookProtection workbookAlgorithmName="SHA-512" workbookHashValue="fn98FccHw6b76x1SodezSh4u8UmTz4j9qx/wtYs9NaCM8FY3dwZZpsAAEAE3WRyQvKQGtJxrXszbfu988XPeyw==" workbookSaltValue="Q3KZziXPenL0xsIA3aX/sQ==" workbookSpinCount="100000" lockStructure="1"/>
  <bookViews>
    <workbookView xWindow="-28920" yWindow="-120" windowWidth="29040" windowHeight="15720" tabRatio="803" activeTab="1" xr2:uid="{6B83D8BD-2351-44B4-B7F9-4A5D284ECD44}"/>
  </bookViews>
  <sheets>
    <sheet name="Sprawozdania wzór 1 porówn" sheetId="67" r:id="rId1"/>
    <sheet name="Prognoza wzór 1 porówn" sheetId="68" r:id="rId2"/>
    <sheet name="PSONI Rymanów" sheetId="7" state="hidden" r:id="rId3"/>
    <sheet name="PSONI Szczecin" sheetId="21" state="hidden" r:id="rId4"/>
    <sheet name="PSONI Gdańsk" sheetId="37" state="hidden" r:id="rId5"/>
    <sheet name="PSONI Krosno" sheetId="16" state="hidden" r:id="rId6"/>
    <sheet name="PSONI Stargard" sheetId="20" state="hidden" r:id="rId7"/>
    <sheet name="PSONI Gryf" sheetId="28" state="hidden" r:id="rId8"/>
    <sheet name="PSONI Dzierż" sheetId="29" state="hidden" r:id="rId9"/>
    <sheet name="BŻ Olsztyn" sheetId="3" state="hidden" r:id="rId10"/>
    <sheet name="F.Gos. Alber" sheetId="30" state="hidden" r:id="rId11"/>
    <sheet name="F.Car Kat" sheetId="31" state="hidden" r:id="rId12"/>
    <sheet name="Caritas B-Ż" sheetId="22" state="hidden" r:id="rId13"/>
    <sheet name="F.Integra" sheetId="47" state="hidden" r:id="rId14"/>
    <sheet name="F.Światło" sheetId="35" state="hidden" r:id="rId15"/>
    <sheet name="Rzesz T.Pom Alb" sheetId="32" state="hidden" r:id="rId16"/>
    <sheet name="F.AnnDymn" sheetId="26" state="hidden" r:id="rId17"/>
    <sheet name="F.Barka" sheetId="36" state="hidden" r:id="rId18"/>
    <sheet name="S.IW Barka" sheetId="38" state="hidden" r:id="rId19"/>
    <sheet name="S.PW Barka" sheetId="39" state="hidden" r:id="rId20"/>
    <sheet name="S. Konicz" sheetId="40" state="hidden" r:id="rId21"/>
    <sheet name="S. Teatr" sheetId="41" state="hidden" r:id="rId22"/>
    <sheet name="PZN" sheetId="45" state="hidden" r:id="rId23"/>
    <sheet name="PZN Kiel" sheetId="46" state="hidden" r:id="rId24"/>
    <sheet name="S.nr ON Razem" sheetId="42" state="hidden" r:id="rId25"/>
    <sheet name="SpS Opoka" sheetId="49" state="hidden" r:id="rId26"/>
    <sheet name="SpS Nadzieja" sheetId="50" state="hidden" r:id="rId27"/>
    <sheet name="Stow nR SpS" sheetId="51" state="hidden" r:id="rId28"/>
    <sheet name="SpS Kino" sheetId="52" state="hidden" r:id="rId29"/>
    <sheet name="SpS Arte" sheetId="53" state="hidden" r:id="rId30"/>
    <sheet name="SpS Serwis" sheetId="54" state="hidden" r:id="rId31"/>
    <sheet name="SpS Dalba" sheetId="55" state="hidden" r:id="rId32"/>
    <sheet name="SpS Progresum " sheetId="56" state="hidden" r:id="rId33"/>
    <sheet name="SpS Parasol" sheetId="57" state="hidden" r:id="rId34"/>
    <sheet name="SpS Samodz" sheetId="48" state="hidden" r:id="rId35"/>
    <sheet name="SpS Feniks" sheetId="58" state="hidden" r:id="rId36"/>
  </sheets>
  <definedNames>
    <definedName name="_xlnm.Print_Area" localSheetId="1">'Prognoza wzór 1 porówn'!$A$1:$L$84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68" l="1"/>
  <c r="H48" i="68"/>
  <c r="H46" i="68"/>
  <c r="H45" i="68"/>
  <c r="H44" i="68"/>
  <c r="H43" i="68"/>
  <c r="H41" i="68"/>
  <c r="H40" i="68"/>
  <c r="H39" i="68"/>
  <c r="H38" i="68"/>
  <c r="H37" i="68"/>
  <c r="H34" i="68"/>
  <c r="H33" i="68"/>
  <c r="H32" i="68"/>
  <c r="H31" i="68"/>
  <c r="H20" i="68"/>
  <c r="H19" i="68"/>
  <c r="H18" i="68"/>
  <c r="H17" i="68"/>
  <c r="H16" i="68"/>
  <c r="H15" i="68"/>
  <c r="H14" i="68"/>
  <c r="H13" i="68"/>
  <c r="H11" i="68"/>
  <c r="H10" i="68"/>
  <c r="G9" i="68"/>
  <c r="H9" i="68"/>
  <c r="G12" i="68"/>
  <c r="H67" i="68"/>
  <c r="H66" i="68"/>
  <c r="H65" i="68"/>
  <c r="H61" i="68"/>
  <c r="H60" i="68"/>
  <c r="H59" i="68"/>
  <c r="H58" i="68"/>
  <c r="H55" i="68"/>
  <c r="H54" i="68"/>
  <c r="H53" i="68"/>
  <c r="H28" i="68"/>
  <c r="H27" i="68"/>
  <c r="H26" i="68"/>
  <c r="H25" i="68"/>
  <c r="H24" i="68"/>
  <c r="H23" i="68" s="1"/>
  <c r="H22" i="68" s="1"/>
  <c r="H7" i="68"/>
  <c r="H42" i="68" l="1"/>
  <c r="H36" i="68"/>
  <c r="H30" i="68"/>
  <c r="H29" i="68"/>
  <c r="H12" i="68"/>
  <c r="H21" i="68" s="1"/>
  <c r="H35" i="68" s="1"/>
  <c r="H47" i="68" l="1"/>
  <c r="H50" i="68" s="1"/>
  <c r="F227" i="67" l="1"/>
  <c r="F61" i="67"/>
  <c r="D30" i="68"/>
  <c r="D29" i="68"/>
  <c r="D23" i="68"/>
  <c r="D22" i="68" s="1"/>
  <c r="L30" i="68"/>
  <c r="L29" i="68" s="1"/>
  <c r="K30" i="68"/>
  <c r="K29" i="68" s="1"/>
  <c r="J30" i="68"/>
  <c r="J29" i="68" s="1"/>
  <c r="I30" i="68"/>
  <c r="I29" i="68" s="1"/>
  <c r="G30" i="68"/>
  <c r="G29" i="68" s="1"/>
  <c r="F30" i="68"/>
  <c r="F29" i="68" s="1"/>
  <c r="E30" i="68"/>
  <c r="E29" i="68" s="1"/>
  <c r="L23" i="68"/>
  <c r="L22" i="68" s="1"/>
  <c r="K23" i="68"/>
  <c r="K22" i="68" s="1"/>
  <c r="J23" i="68"/>
  <c r="J22" i="68" s="1"/>
  <c r="I23" i="68"/>
  <c r="I22" i="68" s="1"/>
  <c r="G23" i="68"/>
  <c r="G22" i="68" s="1"/>
  <c r="F23" i="68"/>
  <c r="F22" i="68" s="1"/>
  <c r="E23" i="68"/>
  <c r="E22" i="68" s="1"/>
  <c r="E42" i="68"/>
  <c r="F42" i="68"/>
  <c r="G42" i="68"/>
  <c r="I42" i="68"/>
  <c r="J42" i="68"/>
  <c r="K42" i="68"/>
  <c r="L42" i="68"/>
  <c r="D42" i="68"/>
  <c r="E36" i="68"/>
  <c r="F36" i="68"/>
  <c r="G36" i="68"/>
  <c r="I36" i="68"/>
  <c r="J36" i="68"/>
  <c r="K36" i="68"/>
  <c r="L36" i="68"/>
  <c r="D36" i="68"/>
  <c r="E12" i="68"/>
  <c r="F12" i="68"/>
  <c r="I12" i="68"/>
  <c r="J12" i="68"/>
  <c r="K12" i="68"/>
  <c r="L12" i="68"/>
  <c r="E9" i="68"/>
  <c r="F9" i="68"/>
  <c r="I9" i="68"/>
  <c r="J9" i="68"/>
  <c r="K9" i="68"/>
  <c r="L9" i="68"/>
  <c r="D12" i="68"/>
  <c r="D9" i="68"/>
  <c r="D21" i="68" s="1"/>
  <c r="L52" i="68"/>
  <c r="L64" i="68" s="1"/>
  <c r="K52" i="68"/>
  <c r="K64" i="68" s="1"/>
  <c r="J52" i="68"/>
  <c r="J57" i="68" s="1"/>
  <c r="I52" i="68"/>
  <c r="I57" i="68" s="1"/>
  <c r="G52" i="68"/>
  <c r="G57" i="68" s="1"/>
  <c r="F52" i="68"/>
  <c r="F57" i="68" s="1"/>
  <c r="E52" i="68"/>
  <c r="E64" i="68" s="1"/>
  <c r="D52" i="68"/>
  <c r="D64" i="68" s="1"/>
  <c r="L7" i="68"/>
  <c r="K7" i="68"/>
  <c r="J7" i="68"/>
  <c r="I7" i="68"/>
  <c r="G7" i="68"/>
  <c r="F7" i="68"/>
  <c r="E7" i="68"/>
  <c r="D7" i="68"/>
  <c r="F192" i="67"/>
  <c r="F175" i="67"/>
  <c r="I21" i="68" l="1"/>
  <c r="I35" i="68" s="1"/>
  <c r="I47" i="68" s="1"/>
  <c r="I50" i="68" s="1"/>
  <c r="G21" i="68"/>
  <c r="G35" i="68" s="1"/>
  <c r="G47" i="68" s="1"/>
  <c r="G50" i="68" s="1"/>
  <c r="F21" i="68"/>
  <c r="F35" i="68" s="1"/>
  <c r="F47" i="68" s="1"/>
  <c r="F50" i="68" s="1"/>
  <c r="K21" i="68"/>
  <c r="K35" i="68" s="1"/>
  <c r="K47" i="68" s="1"/>
  <c r="K50" i="68" s="1"/>
  <c r="J21" i="68"/>
  <c r="J35" i="68" s="1"/>
  <c r="J47" i="68" s="1"/>
  <c r="J50" i="68" s="1"/>
  <c r="L21" i="68"/>
  <c r="L35" i="68" s="1"/>
  <c r="L47" i="68" s="1"/>
  <c r="L50" i="68" s="1"/>
  <c r="E21" i="68"/>
  <c r="E35" i="68" s="1"/>
  <c r="E47" i="68" s="1"/>
  <c r="E50" i="68" s="1"/>
  <c r="D35" i="68"/>
  <c r="D47" i="68" s="1"/>
  <c r="D50" i="68" s="1"/>
  <c r="F64" i="68"/>
  <c r="G64" i="68"/>
  <c r="D57" i="68"/>
  <c r="E57" i="68"/>
  <c r="I64" i="68"/>
  <c r="J64" i="68"/>
  <c r="E227" i="67"/>
  <c r="D227" i="67"/>
  <c r="F68" i="67"/>
  <c r="D212" i="67"/>
  <c r="D246" i="67"/>
  <c r="D253" i="67"/>
  <c r="F253" i="67"/>
  <c r="F246" i="67"/>
  <c r="F221" i="67"/>
  <c r="F213" i="67"/>
  <c r="F204" i="67"/>
  <c r="F203" i="67"/>
  <c r="F28" i="67"/>
  <c r="D252" i="67"/>
  <c r="D245" i="67"/>
  <c r="D230" i="67"/>
  <c r="D226" i="67"/>
  <c r="D220" i="67"/>
  <c r="D211" i="67"/>
  <c r="D60" i="67"/>
  <c r="E212" i="67"/>
  <c r="D14" i="67"/>
  <c r="D162" i="67"/>
  <c r="E162" i="67"/>
  <c r="E103" i="67"/>
  <c r="D103" i="67"/>
  <c r="E61" i="67"/>
  <c r="D61" i="67"/>
  <c r="E48" i="67"/>
  <c r="D48" i="67"/>
  <c r="E36" i="67"/>
  <c r="D36" i="67"/>
  <c r="E31" i="67"/>
  <c r="D31" i="67"/>
  <c r="E26" i="67"/>
  <c r="D26" i="67"/>
  <c r="E14" i="67"/>
  <c r="E8" i="67"/>
  <c r="E231" i="67" s="1"/>
  <c r="D8" i="67"/>
  <c r="F231" i="67" s="1"/>
  <c r="H213" i="67" l="1"/>
  <c r="D231" i="67"/>
  <c r="H231" i="67" s="1"/>
  <c r="F145" i="67"/>
  <c r="D25" i="67"/>
  <c r="D35" i="67" s="1"/>
  <c r="D55" i="67" s="1"/>
  <c r="D58" i="67" s="1"/>
  <c r="E148" i="67"/>
  <c r="E150" i="67" s="1"/>
  <c r="D148" i="67"/>
  <c r="D150" i="67" s="1"/>
  <c r="E25" i="67"/>
  <c r="E35" i="67" s="1"/>
  <c r="E55" i="67" s="1"/>
  <c r="E58" i="67" s="1"/>
  <c r="F150" i="67" l="1"/>
  <c r="D209" i="67"/>
  <c r="E209" i="67"/>
  <c r="E253" i="67"/>
  <c r="H253" i="67" s="1"/>
  <c r="E246" i="67" l="1"/>
  <c r="H246" i="67" s="1"/>
  <c r="E7" i="67" l="1"/>
  <c r="E220" i="67" l="1"/>
  <c r="E226" i="67"/>
  <c r="E211" i="67"/>
  <c r="E252" i="67"/>
  <c r="E60" i="67"/>
  <c r="E245" i="67"/>
  <c r="E230" i="67"/>
  <c r="B57" i="54"/>
  <c r="A57" i="54"/>
  <c r="B56" i="54"/>
  <c r="A56" i="54"/>
  <c r="B55" i="54"/>
  <c r="A55" i="54"/>
  <c r="B54" i="54"/>
  <c r="A54" i="54"/>
  <c r="B57" i="55"/>
  <c r="A57" i="55"/>
  <c r="B56" i="55"/>
  <c r="A56" i="55"/>
  <c r="B55" i="55"/>
  <c r="A55" i="55"/>
  <c r="B54" i="55"/>
  <c r="A54" i="55"/>
  <c r="B57" i="56"/>
  <c r="A57" i="56"/>
  <c r="B56" i="56"/>
  <c r="A56" i="56"/>
  <c r="B55" i="56"/>
  <c r="A55" i="56"/>
  <c r="B54" i="56"/>
  <c r="A54" i="56"/>
  <c r="B41" i="56"/>
  <c r="A41" i="56"/>
  <c r="B57" i="57"/>
  <c r="A57" i="57"/>
  <c r="B56" i="57"/>
  <c r="A56" i="57"/>
  <c r="B55" i="57"/>
  <c r="A55" i="57"/>
  <c r="B54" i="57"/>
  <c r="A54" i="57"/>
  <c r="B57" i="48"/>
  <c r="A57" i="48"/>
  <c r="B56" i="48"/>
  <c r="A56" i="48"/>
  <c r="B55" i="48"/>
  <c r="A55" i="48"/>
  <c r="B54" i="48"/>
  <c r="A54" i="48"/>
  <c r="B57" i="58"/>
  <c r="A57" i="58"/>
  <c r="B56" i="58"/>
  <c r="A56" i="58"/>
  <c r="B55" i="58"/>
  <c r="A55" i="58"/>
  <c r="B54" i="58"/>
  <c r="A54" i="58"/>
  <c r="B41" i="58"/>
  <c r="A41" i="58"/>
  <c r="F25" i="48"/>
  <c r="B57" i="53"/>
  <c r="A57" i="53"/>
  <c r="B56" i="53"/>
  <c r="A56" i="53"/>
  <c r="B55" i="53"/>
  <c r="A55" i="53"/>
  <c r="B54" i="53"/>
  <c r="A54" i="53"/>
  <c r="B57" i="52"/>
  <c r="A57" i="52"/>
  <c r="B56" i="52"/>
  <c r="A56" i="52"/>
  <c r="B55" i="52"/>
  <c r="A55" i="52"/>
  <c r="B54" i="52"/>
  <c r="A54" i="52"/>
  <c r="F9" i="48"/>
  <c r="F10" i="48"/>
  <c r="F11" i="48"/>
  <c r="F12" i="48"/>
  <c r="F13" i="48"/>
  <c r="F14" i="48"/>
  <c r="F6" i="48" s="1"/>
  <c r="F15" i="48"/>
  <c r="F27" i="48"/>
  <c r="F28" i="48"/>
  <c r="F19" i="48" s="1"/>
  <c r="F29" i="48"/>
  <c r="F30" i="48"/>
  <c r="F21" i="48" s="1"/>
  <c r="F31" i="48"/>
  <c r="F23" i="48" s="1"/>
  <c r="F32" i="48"/>
  <c r="F33" i="48"/>
  <c r="F43" i="48"/>
  <c r="F44" i="48"/>
  <c r="F45" i="48"/>
  <c r="F46" i="48"/>
  <c r="F47" i="48"/>
  <c r="F41" i="48" s="1"/>
  <c r="F48" i="48"/>
  <c r="D54" i="48"/>
  <c r="D55" i="48"/>
  <c r="D56" i="48"/>
  <c r="D57" i="48"/>
  <c r="F65" i="48"/>
  <c r="F66" i="48"/>
  <c r="F68" i="48"/>
  <c r="F69" i="48"/>
  <c r="F70" i="48"/>
  <c r="F71" i="48"/>
  <c r="F75" i="48"/>
  <c r="F79" i="48"/>
  <c r="F80" i="48"/>
  <c r="F81" i="48"/>
  <c r="C41" i="58"/>
  <c r="D41" i="58"/>
  <c r="D57" i="58"/>
  <c r="C57" i="58"/>
  <c r="D56" i="58"/>
  <c r="C56" i="58"/>
  <c r="D55" i="58"/>
  <c r="C55" i="58"/>
  <c r="D54" i="58"/>
  <c r="C54" i="58"/>
  <c r="F39" i="48" l="1"/>
  <c r="F20" i="48"/>
  <c r="F40" i="48"/>
  <c r="F24" i="48"/>
  <c r="F38" i="48"/>
  <c r="F53" i="48"/>
  <c r="F4" i="48"/>
  <c r="F60" i="48"/>
  <c r="F7" i="48"/>
  <c r="F5" i="48"/>
  <c r="F59" i="48"/>
  <c r="F37" i="48"/>
  <c r="F22" i="48"/>
  <c r="F58" i="48"/>
  <c r="F52" i="48"/>
  <c r="F63" i="48"/>
  <c r="C54" i="48"/>
  <c r="F62" i="48"/>
  <c r="C55" i="48"/>
  <c r="F61" i="48"/>
  <c r="C56" i="48"/>
  <c r="C57" i="48"/>
  <c r="K13" i="58"/>
  <c r="K14" i="58"/>
  <c r="K15" i="58"/>
  <c r="K9" i="58"/>
  <c r="K81" i="58"/>
  <c r="J81" i="58"/>
  <c r="I81" i="58"/>
  <c r="H81" i="58"/>
  <c r="G81" i="58"/>
  <c r="F81" i="58"/>
  <c r="K80" i="58"/>
  <c r="J80" i="58"/>
  <c r="I80" i="58"/>
  <c r="H80" i="58"/>
  <c r="G80" i="58"/>
  <c r="F80" i="58"/>
  <c r="F62" i="58" s="1"/>
  <c r="K79" i="58"/>
  <c r="J79" i="58"/>
  <c r="I79" i="58"/>
  <c r="H79" i="58"/>
  <c r="G79" i="58"/>
  <c r="F79" i="58"/>
  <c r="K75" i="58"/>
  <c r="J75" i="58"/>
  <c r="I75" i="58"/>
  <c r="H75" i="58"/>
  <c r="G75" i="58"/>
  <c r="F75" i="58"/>
  <c r="K71" i="58"/>
  <c r="J71" i="58"/>
  <c r="J58" i="58" s="1"/>
  <c r="I71" i="58"/>
  <c r="H71" i="58"/>
  <c r="G71" i="58"/>
  <c r="F71" i="58"/>
  <c r="K70" i="58"/>
  <c r="J70" i="58"/>
  <c r="I70" i="58"/>
  <c r="H70" i="58"/>
  <c r="G70" i="58"/>
  <c r="F70" i="58"/>
  <c r="K69" i="58"/>
  <c r="J69" i="58"/>
  <c r="I69" i="58"/>
  <c r="H69" i="58"/>
  <c r="G69" i="58"/>
  <c r="F69" i="58"/>
  <c r="K68" i="58"/>
  <c r="J68" i="58"/>
  <c r="I68" i="58"/>
  <c r="H68" i="58"/>
  <c r="G68" i="58"/>
  <c r="F68" i="58"/>
  <c r="K66" i="58"/>
  <c r="K53" i="58" s="1"/>
  <c r="J66" i="58"/>
  <c r="I66" i="58"/>
  <c r="H66" i="58"/>
  <c r="G66" i="58"/>
  <c r="F66" i="58"/>
  <c r="K65" i="58"/>
  <c r="J65" i="58"/>
  <c r="I65" i="58"/>
  <c r="H65" i="58"/>
  <c r="G65" i="58"/>
  <c r="F65" i="58"/>
  <c r="K61" i="58"/>
  <c r="J61" i="58"/>
  <c r="I61" i="58"/>
  <c r="H61" i="58"/>
  <c r="G61" i="58"/>
  <c r="F61" i="58"/>
  <c r="K59" i="58"/>
  <c r="K48" i="58"/>
  <c r="J48" i="58"/>
  <c r="I48" i="58"/>
  <c r="H48" i="58"/>
  <c r="G48" i="58"/>
  <c r="F48" i="58"/>
  <c r="K47" i="58"/>
  <c r="J47" i="58"/>
  <c r="I47" i="58"/>
  <c r="H47" i="58"/>
  <c r="G47" i="58"/>
  <c r="F47" i="58"/>
  <c r="K46" i="58"/>
  <c r="J46" i="58"/>
  <c r="I46" i="58"/>
  <c r="H46" i="58"/>
  <c r="G46" i="58"/>
  <c r="F46" i="58"/>
  <c r="K45" i="58"/>
  <c r="J45" i="58"/>
  <c r="I45" i="58"/>
  <c r="H45" i="58"/>
  <c r="G45" i="58"/>
  <c r="F45" i="58"/>
  <c r="K44" i="58"/>
  <c r="J44" i="58"/>
  <c r="I44" i="58"/>
  <c r="I39" i="58" s="1"/>
  <c r="H44" i="58"/>
  <c r="H39" i="58" s="1"/>
  <c r="G44" i="58"/>
  <c r="G39" i="58" s="1"/>
  <c r="F44" i="58"/>
  <c r="F39" i="58" s="1"/>
  <c r="K43" i="58"/>
  <c r="K37" i="58" s="1"/>
  <c r="J43" i="58"/>
  <c r="I43" i="58"/>
  <c r="H43" i="58"/>
  <c r="G43" i="58"/>
  <c r="F43" i="58"/>
  <c r="K33" i="58"/>
  <c r="J33" i="58"/>
  <c r="I33" i="58"/>
  <c r="H33" i="58"/>
  <c r="G33" i="58"/>
  <c r="F33" i="58"/>
  <c r="K32" i="58"/>
  <c r="J32" i="58"/>
  <c r="I32" i="58"/>
  <c r="H32" i="58"/>
  <c r="G32" i="58"/>
  <c r="F32" i="58"/>
  <c r="K31" i="58"/>
  <c r="J31" i="58"/>
  <c r="I31" i="58"/>
  <c r="H31" i="58"/>
  <c r="G31" i="58"/>
  <c r="F31" i="58"/>
  <c r="K30" i="58"/>
  <c r="J30" i="58"/>
  <c r="J21" i="58" s="1"/>
  <c r="I30" i="58"/>
  <c r="H30" i="58"/>
  <c r="G30" i="58"/>
  <c r="F30" i="58"/>
  <c r="K29" i="58"/>
  <c r="J29" i="58"/>
  <c r="I29" i="58"/>
  <c r="H29" i="58"/>
  <c r="G29" i="58"/>
  <c r="F29" i="58"/>
  <c r="K28" i="58"/>
  <c r="K19" i="58" s="1"/>
  <c r="J28" i="58"/>
  <c r="J19" i="58" s="1"/>
  <c r="I28" i="58"/>
  <c r="H28" i="58"/>
  <c r="G28" i="58"/>
  <c r="F28" i="58"/>
  <c r="K27" i="58"/>
  <c r="J27" i="58"/>
  <c r="I27" i="58"/>
  <c r="H27" i="58"/>
  <c r="G27" i="58"/>
  <c r="F27" i="58"/>
  <c r="J15" i="58"/>
  <c r="I15" i="58"/>
  <c r="H15" i="58"/>
  <c r="G15" i="58"/>
  <c r="F15" i="58"/>
  <c r="J14" i="58"/>
  <c r="I14" i="58"/>
  <c r="H14" i="58"/>
  <c r="G14" i="58"/>
  <c r="F14" i="58"/>
  <c r="J13" i="58"/>
  <c r="I13" i="58"/>
  <c r="H13" i="58"/>
  <c r="G13" i="58"/>
  <c r="F13" i="58"/>
  <c r="K12" i="58"/>
  <c r="J12" i="58"/>
  <c r="I12" i="58"/>
  <c r="H12" i="58"/>
  <c r="G12" i="58"/>
  <c r="F12" i="58"/>
  <c r="K11" i="58"/>
  <c r="J11" i="58"/>
  <c r="I11" i="58"/>
  <c r="H11" i="58"/>
  <c r="G11" i="58"/>
  <c r="F11" i="58"/>
  <c r="K10" i="58"/>
  <c r="J10" i="58"/>
  <c r="I10" i="58"/>
  <c r="H10" i="58"/>
  <c r="G10" i="58"/>
  <c r="F10" i="58"/>
  <c r="J9" i="58"/>
  <c r="I9" i="58"/>
  <c r="H9" i="58"/>
  <c r="G9" i="58"/>
  <c r="F9" i="58"/>
  <c r="K81" i="48"/>
  <c r="J81" i="48"/>
  <c r="I81" i="48"/>
  <c r="H81" i="48"/>
  <c r="G81" i="48"/>
  <c r="K80" i="48"/>
  <c r="J80" i="48"/>
  <c r="J62" i="48" s="1"/>
  <c r="I80" i="48"/>
  <c r="I62" i="48" s="1"/>
  <c r="H80" i="48"/>
  <c r="G80" i="48"/>
  <c r="K79" i="48"/>
  <c r="J79" i="48"/>
  <c r="I79" i="48"/>
  <c r="H79" i="48"/>
  <c r="G79" i="48"/>
  <c r="K75" i="48"/>
  <c r="J75" i="48"/>
  <c r="I75" i="48"/>
  <c r="H75" i="48"/>
  <c r="G75" i="48"/>
  <c r="K71" i="48"/>
  <c r="J71" i="48"/>
  <c r="I71" i="48"/>
  <c r="H71" i="48"/>
  <c r="G71" i="48"/>
  <c r="K70" i="48"/>
  <c r="J70" i="48"/>
  <c r="I70" i="48"/>
  <c r="H70" i="48"/>
  <c r="G70" i="48"/>
  <c r="K69" i="48"/>
  <c r="J69" i="48"/>
  <c r="I69" i="48"/>
  <c r="H69" i="48"/>
  <c r="G69" i="48"/>
  <c r="K68" i="48"/>
  <c r="J68" i="48"/>
  <c r="I68" i="48"/>
  <c r="H68" i="48"/>
  <c r="G68" i="48"/>
  <c r="K66" i="48"/>
  <c r="K62" i="48" s="1"/>
  <c r="J66" i="48"/>
  <c r="I66" i="48"/>
  <c r="H66" i="48"/>
  <c r="G66" i="48"/>
  <c r="K65" i="48"/>
  <c r="J65" i="48"/>
  <c r="I65" i="48"/>
  <c r="H65" i="48"/>
  <c r="G65" i="48"/>
  <c r="G52" i="48" s="1"/>
  <c r="K48" i="48"/>
  <c r="J48" i="48"/>
  <c r="I48" i="48"/>
  <c r="H48" i="48"/>
  <c r="G48" i="48"/>
  <c r="K47" i="48"/>
  <c r="K41" i="48" s="1"/>
  <c r="J47" i="48"/>
  <c r="I47" i="48"/>
  <c r="H47" i="48"/>
  <c r="G47" i="48"/>
  <c r="K46" i="48"/>
  <c r="J46" i="48"/>
  <c r="I46" i="48"/>
  <c r="H46" i="48"/>
  <c r="G46" i="48"/>
  <c r="K45" i="48"/>
  <c r="J45" i="48"/>
  <c r="I45" i="48"/>
  <c r="H45" i="48"/>
  <c r="G45" i="48"/>
  <c r="K44" i="48"/>
  <c r="J44" i="48"/>
  <c r="I44" i="48"/>
  <c r="H44" i="48"/>
  <c r="G44" i="48"/>
  <c r="K43" i="48"/>
  <c r="J43" i="48"/>
  <c r="I43" i="48"/>
  <c r="H43" i="48"/>
  <c r="G43" i="48"/>
  <c r="G37" i="48" s="1"/>
  <c r="K33" i="48"/>
  <c r="J33" i="48"/>
  <c r="I33" i="48"/>
  <c r="H33" i="48"/>
  <c r="G33" i="48"/>
  <c r="K32" i="48"/>
  <c r="J32" i="48"/>
  <c r="I32" i="48"/>
  <c r="H32" i="48"/>
  <c r="G32" i="48"/>
  <c r="K31" i="48"/>
  <c r="J31" i="48"/>
  <c r="I31" i="48"/>
  <c r="H31" i="48"/>
  <c r="G31" i="48"/>
  <c r="K30" i="48"/>
  <c r="J30" i="48"/>
  <c r="I30" i="48"/>
  <c r="H30" i="48"/>
  <c r="G30" i="48"/>
  <c r="K29" i="48"/>
  <c r="K20" i="48" s="1"/>
  <c r="J29" i="48"/>
  <c r="I29" i="48"/>
  <c r="H29" i="48"/>
  <c r="G29" i="48"/>
  <c r="K28" i="48"/>
  <c r="J28" i="48"/>
  <c r="I28" i="48"/>
  <c r="H28" i="48"/>
  <c r="G28" i="48"/>
  <c r="K27" i="48"/>
  <c r="J27" i="48"/>
  <c r="I27" i="48"/>
  <c r="H27" i="48"/>
  <c r="G27" i="48"/>
  <c r="K15" i="48"/>
  <c r="J15" i="48"/>
  <c r="I15" i="48"/>
  <c r="H15" i="48"/>
  <c r="G15" i="48"/>
  <c r="K14" i="48"/>
  <c r="J14" i="48"/>
  <c r="I14" i="48"/>
  <c r="H14" i="48"/>
  <c r="G14" i="48"/>
  <c r="K13" i="48"/>
  <c r="J13" i="48"/>
  <c r="I13" i="48"/>
  <c r="H13" i="48"/>
  <c r="G13" i="48"/>
  <c r="K12" i="48"/>
  <c r="J12" i="48"/>
  <c r="I12" i="48"/>
  <c r="H12" i="48"/>
  <c r="G12" i="48"/>
  <c r="K11" i="48"/>
  <c r="J11" i="48"/>
  <c r="I11" i="48"/>
  <c r="H11" i="48"/>
  <c r="G11" i="48"/>
  <c r="K10" i="48"/>
  <c r="J10" i="48"/>
  <c r="I10" i="48"/>
  <c r="H10" i="48"/>
  <c r="G10" i="48"/>
  <c r="K9" i="48"/>
  <c r="J9" i="48"/>
  <c r="I9" i="48"/>
  <c r="H9" i="48"/>
  <c r="G9" i="48"/>
  <c r="G65" i="57"/>
  <c r="H65" i="57"/>
  <c r="I65" i="57"/>
  <c r="J65" i="57"/>
  <c r="K65" i="57"/>
  <c r="G66" i="57"/>
  <c r="H66" i="57"/>
  <c r="I66" i="57"/>
  <c r="J66" i="57"/>
  <c r="K66" i="57"/>
  <c r="G68" i="57"/>
  <c r="H68" i="57"/>
  <c r="I68" i="57"/>
  <c r="J68" i="57"/>
  <c r="K68" i="57"/>
  <c r="G69" i="57"/>
  <c r="H69" i="57"/>
  <c r="I69" i="57"/>
  <c r="J69" i="57"/>
  <c r="K69" i="57"/>
  <c r="G70" i="57"/>
  <c r="H70" i="57"/>
  <c r="I70" i="57"/>
  <c r="I53" i="57" s="1"/>
  <c r="J70" i="57"/>
  <c r="K70" i="57"/>
  <c r="G71" i="57"/>
  <c r="H71" i="57"/>
  <c r="I71" i="57"/>
  <c r="J71" i="57"/>
  <c r="K71" i="57"/>
  <c r="G75" i="57"/>
  <c r="H75" i="57"/>
  <c r="I75" i="57"/>
  <c r="J75" i="57"/>
  <c r="K75" i="57"/>
  <c r="G79" i="57"/>
  <c r="H79" i="57"/>
  <c r="I79" i="57"/>
  <c r="J79" i="57"/>
  <c r="K79" i="57"/>
  <c r="K61" i="57" s="1"/>
  <c r="G80" i="57"/>
  <c r="H80" i="57"/>
  <c r="I80" i="57"/>
  <c r="I62" i="57" s="1"/>
  <c r="J80" i="57"/>
  <c r="K80" i="57"/>
  <c r="G81" i="57"/>
  <c r="H81" i="57"/>
  <c r="I81" i="57"/>
  <c r="J81" i="57"/>
  <c r="K81" i="57"/>
  <c r="F81" i="57"/>
  <c r="F80" i="57"/>
  <c r="F62" i="57" s="1"/>
  <c r="F79" i="57"/>
  <c r="F61" i="57" s="1"/>
  <c r="F75" i="57"/>
  <c r="F71" i="57"/>
  <c r="F70" i="57"/>
  <c r="F69" i="57"/>
  <c r="F68" i="57"/>
  <c r="F66" i="57"/>
  <c r="F65" i="57"/>
  <c r="G43" i="57"/>
  <c r="H43" i="57"/>
  <c r="I43" i="57"/>
  <c r="J43" i="57"/>
  <c r="K43" i="57"/>
  <c r="K37" i="57" s="1"/>
  <c r="G44" i="57"/>
  <c r="H44" i="57"/>
  <c r="I44" i="57"/>
  <c r="J44" i="57"/>
  <c r="K44" i="57"/>
  <c r="G45" i="57"/>
  <c r="H45" i="57"/>
  <c r="I45" i="57"/>
  <c r="J45" i="57"/>
  <c r="K45" i="57"/>
  <c r="K39" i="57" s="1"/>
  <c r="G46" i="57"/>
  <c r="H46" i="57"/>
  <c r="I46" i="57"/>
  <c r="I40" i="57" s="1"/>
  <c r="J46" i="57"/>
  <c r="J40" i="57" s="1"/>
  <c r="K46" i="57"/>
  <c r="G47" i="57"/>
  <c r="H47" i="57"/>
  <c r="I47" i="57"/>
  <c r="J47" i="57"/>
  <c r="K47" i="57"/>
  <c r="G48" i="57"/>
  <c r="H48" i="57"/>
  <c r="H41" i="57" s="1"/>
  <c r="I48" i="57"/>
  <c r="J48" i="57"/>
  <c r="K48" i="57"/>
  <c r="F48" i="57"/>
  <c r="F41" i="57" s="1"/>
  <c r="F47" i="57"/>
  <c r="F46" i="57"/>
  <c r="F45" i="57"/>
  <c r="F44" i="57"/>
  <c r="F43" i="57"/>
  <c r="G27" i="57"/>
  <c r="H27" i="57"/>
  <c r="I27" i="57"/>
  <c r="J27" i="57"/>
  <c r="K27" i="57"/>
  <c r="G28" i="57"/>
  <c r="H28" i="57"/>
  <c r="I28" i="57"/>
  <c r="J28" i="57"/>
  <c r="K28" i="57"/>
  <c r="G29" i="57"/>
  <c r="H29" i="57"/>
  <c r="I29" i="57"/>
  <c r="J29" i="57"/>
  <c r="K29" i="57"/>
  <c r="G30" i="57"/>
  <c r="H30" i="57"/>
  <c r="I30" i="57"/>
  <c r="J30" i="57"/>
  <c r="K30" i="57"/>
  <c r="G31" i="57"/>
  <c r="H31" i="57"/>
  <c r="I31" i="57"/>
  <c r="J31" i="57"/>
  <c r="K31" i="57"/>
  <c r="G32" i="57"/>
  <c r="H32" i="57"/>
  <c r="I32" i="57"/>
  <c r="J32" i="57"/>
  <c r="K32" i="57"/>
  <c r="G33" i="57"/>
  <c r="H33" i="57"/>
  <c r="I33" i="57"/>
  <c r="J33" i="57"/>
  <c r="K33" i="57"/>
  <c r="F33" i="57"/>
  <c r="F32" i="57"/>
  <c r="F31" i="57"/>
  <c r="F30" i="57"/>
  <c r="F29" i="57"/>
  <c r="F28" i="57"/>
  <c r="F27" i="57"/>
  <c r="G9" i="57"/>
  <c r="H9" i="57"/>
  <c r="I9" i="57"/>
  <c r="J9" i="57"/>
  <c r="K9" i="57"/>
  <c r="G10" i="57"/>
  <c r="H10" i="57"/>
  <c r="I10" i="57"/>
  <c r="J10" i="57"/>
  <c r="K10" i="57"/>
  <c r="K6" i="57" s="1"/>
  <c r="G11" i="57"/>
  <c r="G7" i="57" s="1"/>
  <c r="H11" i="57"/>
  <c r="I11" i="57"/>
  <c r="I7" i="57" s="1"/>
  <c r="J11" i="57"/>
  <c r="K11" i="57"/>
  <c r="G12" i="57"/>
  <c r="H12" i="57"/>
  <c r="I12" i="57"/>
  <c r="J12" i="57"/>
  <c r="K12" i="57"/>
  <c r="G13" i="57"/>
  <c r="H13" i="57"/>
  <c r="I13" i="57"/>
  <c r="J13" i="57"/>
  <c r="K13" i="57"/>
  <c r="G14" i="57"/>
  <c r="H14" i="57"/>
  <c r="I14" i="57"/>
  <c r="J14" i="57"/>
  <c r="K14" i="57"/>
  <c r="K7" i="57" s="1"/>
  <c r="G15" i="57"/>
  <c r="H15" i="57"/>
  <c r="I15" i="57"/>
  <c r="J15" i="57"/>
  <c r="K15" i="57"/>
  <c r="F15" i="57"/>
  <c r="F14" i="57"/>
  <c r="F7" i="57" s="1"/>
  <c r="F13" i="57"/>
  <c r="F12" i="57"/>
  <c r="F11" i="57"/>
  <c r="F10" i="57"/>
  <c r="F9" i="57"/>
  <c r="G65" i="56"/>
  <c r="H65" i="56"/>
  <c r="I65" i="56"/>
  <c r="J65" i="56"/>
  <c r="F65" i="56"/>
  <c r="F63" i="56" s="1"/>
  <c r="G66" i="56"/>
  <c r="H66" i="56"/>
  <c r="I66" i="56"/>
  <c r="J66" i="56"/>
  <c r="F66" i="56"/>
  <c r="G68" i="56"/>
  <c r="H68" i="56"/>
  <c r="I68" i="56"/>
  <c r="J68" i="56"/>
  <c r="G69" i="56"/>
  <c r="H69" i="56"/>
  <c r="I69" i="56"/>
  <c r="J69" i="56"/>
  <c r="G70" i="56"/>
  <c r="H70" i="56"/>
  <c r="I70" i="56"/>
  <c r="J70" i="56"/>
  <c r="G71" i="56"/>
  <c r="H71" i="56"/>
  <c r="I71" i="56"/>
  <c r="J71" i="56"/>
  <c r="G79" i="56"/>
  <c r="G60" i="56" s="1"/>
  <c r="H79" i="56"/>
  <c r="I79" i="56"/>
  <c r="J79" i="56"/>
  <c r="G80" i="56"/>
  <c r="H80" i="56"/>
  <c r="I80" i="56"/>
  <c r="I62" i="56" s="1"/>
  <c r="J80" i="56"/>
  <c r="F80" i="56"/>
  <c r="F79" i="56"/>
  <c r="F71" i="56"/>
  <c r="F70" i="56"/>
  <c r="F69" i="56"/>
  <c r="F62" i="56" s="1"/>
  <c r="F68" i="56"/>
  <c r="G43" i="56"/>
  <c r="H43" i="56"/>
  <c r="H37" i="56" s="1"/>
  <c r="I43" i="56"/>
  <c r="J43" i="56"/>
  <c r="G44" i="56"/>
  <c r="H44" i="56"/>
  <c r="I44" i="56"/>
  <c r="J44" i="56"/>
  <c r="J40" i="56" s="1"/>
  <c r="G45" i="56"/>
  <c r="G39" i="56" s="1"/>
  <c r="H45" i="56"/>
  <c r="H39" i="56" s="1"/>
  <c r="I45" i="56"/>
  <c r="J45" i="56"/>
  <c r="J38" i="56" s="1"/>
  <c r="G47" i="56"/>
  <c r="H47" i="56"/>
  <c r="I47" i="56"/>
  <c r="J47" i="56"/>
  <c r="F47" i="56"/>
  <c r="F45" i="56"/>
  <c r="F44" i="56"/>
  <c r="F43" i="56"/>
  <c r="F37" i="56" s="1"/>
  <c r="G27" i="56"/>
  <c r="H27" i="56"/>
  <c r="I27" i="56"/>
  <c r="J27" i="56"/>
  <c r="G28" i="56"/>
  <c r="H28" i="56"/>
  <c r="I28" i="56"/>
  <c r="J28" i="56"/>
  <c r="G29" i="56"/>
  <c r="H29" i="56"/>
  <c r="I29" i="56"/>
  <c r="J29" i="56"/>
  <c r="G30" i="56"/>
  <c r="G21" i="56" s="1"/>
  <c r="H30" i="56"/>
  <c r="I30" i="56"/>
  <c r="J30" i="56"/>
  <c r="G31" i="56"/>
  <c r="H31" i="56"/>
  <c r="I31" i="56"/>
  <c r="J31" i="56"/>
  <c r="G32" i="56"/>
  <c r="H32" i="56"/>
  <c r="I32" i="56"/>
  <c r="J32" i="56"/>
  <c r="G33" i="56"/>
  <c r="H33" i="56"/>
  <c r="I33" i="56"/>
  <c r="J33" i="56"/>
  <c r="F33" i="56"/>
  <c r="F32" i="56"/>
  <c r="F31" i="56"/>
  <c r="F30" i="56"/>
  <c r="F21" i="56" s="1"/>
  <c r="F29" i="56"/>
  <c r="F20" i="56" s="1"/>
  <c r="F28" i="56"/>
  <c r="F27" i="56"/>
  <c r="G9" i="56"/>
  <c r="H9" i="56"/>
  <c r="I9" i="56"/>
  <c r="J9" i="56"/>
  <c r="G10" i="56"/>
  <c r="H10" i="56"/>
  <c r="I10" i="56"/>
  <c r="J10" i="56"/>
  <c r="G11" i="56"/>
  <c r="H11" i="56"/>
  <c r="I11" i="56"/>
  <c r="J11" i="56"/>
  <c r="G13" i="56"/>
  <c r="H13" i="56"/>
  <c r="I13" i="56"/>
  <c r="J13" i="56"/>
  <c r="G14" i="56"/>
  <c r="H14" i="56"/>
  <c r="I14" i="56"/>
  <c r="J14" i="56"/>
  <c r="F14" i="56"/>
  <c r="F13" i="56"/>
  <c r="F11" i="56"/>
  <c r="F7" i="56" s="1"/>
  <c r="F10" i="56"/>
  <c r="F9" i="56"/>
  <c r="F4" i="56" s="1"/>
  <c r="I39" i="57"/>
  <c r="K40" i="57"/>
  <c r="F38" i="57"/>
  <c r="J7" i="57"/>
  <c r="F39" i="56"/>
  <c r="I37" i="56"/>
  <c r="I40" i="56"/>
  <c r="H40" i="56"/>
  <c r="G40" i="56"/>
  <c r="F40" i="56"/>
  <c r="F38" i="56"/>
  <c r="G65" i="55"/>
  <c r="H65" i="55"/>
  <c r="I65" i="55"/>
  <c r="I60" i="55" s="1"/>
  <c r="J65" i="55"/>
  <c r="J63" i="55" s="1"/>
  <c r="K65" i="55"/>
  <c r="G66" i="55"/>
  <c r="H66" i="55"/>
  <c r="I66" i="55"/>
  <c r="J66" i="55"/>
  <c r="K66" i="55"/>
  <c r="G68" i="55"/>
  <c r="H68" i="55"/>
  <c r="I68" i="55"/>
  <c r="J68" i="55"/>
  <c r="K68" i="55"/>
  <c r="G69" i="55"/>
  <c r="H69" i="55"/>
  <c r="H61" i="55" s="1"/>
  <c r="I69" i="55"/>
  <c r="I61" i="55" s="1"/>
  <c r="J69" i="55"/>
  <c r="K69" i="55"/>
  <c r="G70" i="55"/>
  <c r="H70" i="55"/>
  <c r="I70" i="55"/>
  <c r="J70" i="55"/>
  <c r="K70" i="55"/>
  <c r="G71" i="55"/>
  <c r="H71" i="55"/>
  <c r="I71" i="55"/>
  <c r="J71" i="55"/>
  <c r="K71" i="55"/>
  <c r="G75" i="55"/>
  <c r="H75" i="55"/>
  <c r="I75" i="55"/>
  <c r="J75" i="55"/>
  <c r="K75" i="55"/>
  <c r="G79" i="55"/>
  <c r="H79" i="55"/>
  <c r="H60" i="55" s="1"/>
  <c r="I79" i="55"/>
  <c r="J79" i="55"/>
  <c r="J61" i="55" s="1"/>
  <c r="K79" i="55"/>
  <c r="K61" i="55" s="1"/>
  <c r="G80" i="55"/>
  <c r="H80" i="55"/>
  <c r="I80" i="55"/>
  <c r="J80" i="55"/>
  <c r="K80" i="55"/>
  <c r="G81" i="55"/>
  <c r="H81" i="55"/>
  <c r="I81" i="55"/>
  <c r="J81" i="55"/>
  <c r="K81" i="55"/>
  <c r="F81" i="55"/>
  <c r="F80" i="55"/>
  <c r="F62" i="55" s="1"/>
  <c r="F79" i="55"/>
  <c r="F61" i="55" s="1"/>
  <c r="F75" i="55"/>
  <c r="F59" i="55" s="1"/>
  <c r="F71" i="55"/>
  <c r="F70" i="55"/>
  <c r="F69" i="55"/>
  <c r="F68" i="55"/>
  <c r="F66" i="55"/>
  <c r="F65" i="55"/>
  <c r="G43" i="55"/>
  <c r="H43" i="55"/>
  <c r="I43" i="55"/>
  <c r="I38" i="55" s="1"/>
  <c r="J43" i="55"/>
  <c r="J38" i="55" s="1"/>
  <c r="K43" i="55"/>
  <c r="G44" i="55"/>
  <c r="H44" i="55"/>
  <c r="I44" i="55"/>
  <c r="J44" i="55"/>
  <c r="J40" i="55" s="1"/>
  <c r="K44" i="55"/>
  <c r="G45" i="55"/>
  <c r="H45" i="55"/>
  <c r="H39" i="55" s="1"/>
  <c r="I45" i="55"/>
  <c r="J45" i="55"/>
  <c r="K45" i="55"/>
  <c r="G46" i="55"/>
  <c r="G40" i="55" s="1"/>
  <c r="H46" i="55"/>
  <c r="H40" i="55" s="1"/>
  <c r="I46" i="55"/>
  <c r="J46" i="55"/>
  <c r="K46" i="55"/>
  <c r="G47" i="55"/>
  <c r="G41" i="55" s="1"/>
  <c r="H47" i="55"/>
  <c r="I47" i="55"/>
  <c r="J47" i="55"/>
  <c r="K47" i="55"/>
  <c r="G48" i="55"/>
  <c r="H48" i="55"/>
  <c r="H41" i="55" s="1"/>
  <c r="I48" i="55"/>
  <c r="J48" i="55"/>
  <c r="K48" i="55"/>
  <c r="F48" i="55"/>
  <c r="F47" i="55"/>
  <c r="F46" i="55"/>
  <c r="F45" i="55"/>
  <c r="F44" i="55"/>
  <c r="F43" i="55"/>
  <c r="F37" i="55" s="1"/>
  <c r="G27" i="55"/>
  <c r="H27" i="55"/>
  <c r="I27" i="55"/>
  <c r="J27" i="55"/>
  <c r="K27" i="55"/>
  <c r="G28" i="55"/>
  <c r="G19" i="55" s="1"/>
  <c r="H28" i="55"/>
  <c r="H19" i="55" s="1"/>
  <c r="I28" i="55"/>
  <c r="J28" i="55"/>
  <c r="K28" i="55"/>
  <c r="G29" i="55"/>
  <c r="H29" i="55"/>
  <c r="H20" i="55" s="1"/>
  <c r="I29" i="55"/>
  <c r="J29" i="55"/>
  <c r="K29" i="55"/>
  <c r="G30" i="55"/>
  <c r="G21" i="55" s="1"/>
  <c r="H30" i="55"/>
  <c r="H21" i="55" s="1"/>
  <c r="I30" i="55"/>
  <c r="J30" i="55"/>
  <c r="K30" i="55"/>
  <c r="G31" i="55"/>
  <c r="H31" i="55"/>
  <c r="I31" i="55"/>
  <c r="J31" i="55"/>
  <c r="K31" i="55"/>
  <c r="G32" i="55"/>
  <c r="H32" i="55"/>
  <c r="I32" i="55"/>
  <c r="J32" i="55"/>
  <c r="K32" i="55"/>
  <c r="G33" i="55"/>
  <c r="H33" i="55"/>
  <c r="I33" i="55"/>
  <c r="J33" i="55"/>
  <c r="K33" i="55"/>
  <c r="F33" i="55"/>
  <c r="F32" i="55"/>
  <c r="F31" i="55"/>
  <c r="F30" i="55"/>
  <c r="F29" i="55"/>
  <c r="F28" i="55"/>
  <c r="F27" i="55"/>
  <c r="G9" i="55"/>
  <c r="H9" i="55"/>
  <c r="I9" i="55"/>
  <c r="J9" i="55"/>
  <c r="K9" i="55"/>
  <c r="G10" i="55"/>
  <c r="H10" i="55"/>
  <c r="I10" i="55"/>
  <c r="J10" i="55"/>
  <c r="J6" i="55" s="1"/>
  <c r="K10" i="55"/>
  <c r="K5" i="55" s="1"/>
  <c r="G11" i="55"/>
  <c r="H11" i="55"/>
  <c r="I11" i="55"/>
  <c r="J11" i="55"/>
  <c r="K11" i="55"/>
  <c r="G12" i="55"/>
  <c r="H12" i="55"/>
  <c r="I12" i="55"/>
  <c r="J12" i="55"/>
  <c r="K12" i="55"/>
  <c r="G13" i="55"/>
  <c r="H13" i="55"/>
  <c r="I13" i="55"/>
  <c r="J13" i="55"/>
  <c r="K13" i="55"/>
  <c r="G14" i="55"/>
  <c r="H14" i="55"/>
  <c r="I14" i="55"/>
  <c r="J14" i="55"/>
  <c r="K14" i="55"/>
  <c r="G15" i="55"/>
  <c r="H15" i="55"/>
  <c r="I15" i="55"/>
  <c r="J15" i="55"/>
  <c r="K15" i="55"/>
  <c r="F12" i="55"/>
  <c r="F15" i="55"/>
  <c r="F14" i="55"/>
  <c r="F13" i="55"/>
  <c r="F11" i="55"/>
  <c r="F10" i="55"/>
  <c r="F9" i="55"/>
  <c r="J62" i="55"/>
  <c r="I62" i="55"/>
  <c r="H62" i="55"/>
  <c r="F53" i="55"/>
  <c r="H52" i="55"/>
  <c r="F40" i="55"/>
  <c r="H37" i="55"/>
  <c r="K40" i="55"/>
  <c r="F39" i="55"/>
  <c r="F6" i="55"/>
  <c r="I7" i="55"/>
  <c r="J7" i="55"/>
  <c r="F7" i="55"/>
  <c r="I6" i="55"/>
  <c r="K81" i="54"/>
  <c r="J81" i="54"/>
  <c r="I81" i="54"/>
  <c r="H81" i="54"/>
  <c r="G81" i="54"/>
  <c r="F81" i="54"/>
  <c r="K80" i="54"/>
  <c r="J80" i="54"/>
  <c r="I80" i="54"/>
  <c r="H80" i="54"/>
  <c r="G80" i="54"/>
  <c r="F80" i="54"/>
  <c r="K79" i="54"/>
  <c r="J79" i="54"/>
  <c r="I79" i="54"/>
  <c r="H79" i="54"/>
  <c r="G79" i="54"/>
  <c r="F79" i="54"/>
  <c r="K75" i="54"/>
  <c r="J75" i="54"/>
  <c r="I75" i="54"/>
  <c r="H75" i="54"/>
  <c r="G75" i="54"/>
  <c r="F75" i="54"/>
  <c r="K71" i="54"/>
  <c r="J71" i="54"/>
  <c r="J58" i="54" s="1"/>
  <c r="I71" i="54"/>
  <c r="H71" i="54"/>
  <c r="H52" i="54" s="1"/>
  <c r="G71" i="54"/>
  <c r="F71" i="54"/>
  <c r="K70" i="54"/>
  <c r="J70" i="54"/>
  <c r="I70" i="54"/>
  <c r="H70" i="54"/>
  <c r="G70" i="54"/>
  <c r="G59" i="54" s="1"/>
  <c r="F70" i="54"/>
  <c r="K69" i="54"/>
  <c r="J69" i="54"/>
  <c r="J61" i="54" s="1"/>
  <c r="I69" i="54"/>
  <c r="I61" i="54" s="1"/>
  <c r="H69" i="54"/>
  <c r="H61" i="54" s="1"/>
  <c r="G69" i="54"/>
  <c r="F69" i="54"/>
  <c r="K68" i="54"/>
  <c r="J68" i="54"/>
  <c r="I68" i="54"/>
  <c r="H68" i="54"/>
  <c r="G68" i="54"/>
  <c r="F68" i="54"/>
  <c r="F58" i="54" s="1"/>
  <c r="K66" i="54"/>
  <c r="J66" i="54"/>
  <c r="J62" i="54" s="1"/>
  <c r="I66" i="54"/>
  <c r="I62" i="54" s="1"/>
  <c r="H66" i="54"/>
  <c r="H62" i="54" s="1"/>
  <c r="G66" i="54"/>
  <c r="G53" i="54" s="1"/>
  <c r="F66" i="54"/>
  <c r="K65" i="54"/>
  <c r="J65" i="54"/>
  <c r="I65" i="54"/>
  <c r="H65" i="54"/>
  <c r="G65" i="54"/>
  <c r="G63" i="54" s="1"/>
  <c r="F65" i="54"/>
  <c r="F60" i="54" s="1"/>
  <c r="G62" i="54"/>
  <c r="F62" i="54"/>
  <c r="K61" i="54"/>
  <c r="G61" i="54"/>
  <c r="F61" i="54"/>
  <c r="G58" i="54"/>
  <c r="G52" i="54"/>
  <c r="K48" i="54"/>
  <c r="J48" i="54"/>
  <c r="I48" i="54"/>
  <c r="H48" i="54"/>
  <c r="G48" i="54"/>
  <c r="F48" i="54"/>
  <c r="K47" i="54"/>
  <c r="J47" i="54"/>
  <c r="I47" i="54"/>
  <c r="H47" i="54"/>
  <c r="G47" i="54"/>
  <c r="F47" i="54"/>
  <c r="K46" i="54"/>
  <c r="J46" i="54"/>
  <c r="I46" i="54"/>
  <c r="I40" i="54" s="1"/>
  <c r="H46" i="54"/>
  <c r="H40" i="54" s="1"/>
  <c r="G46" i="54"/>
  <c r="F46" i="54"/>
  <c r="K45" i="54"/>
  <c r="J45" i="54"/>
  <c r="I45" i="54"/>
  <c r="H45" i="54"/>
  <c r="G45" i="54"/>
  <c r="F45" i="54"/>
  <c r="K44" i="54"/>
  <c r="J44" i="54"/>
  <c r="I44" i="54"/>
  <c r="H44" i="54"/>
  <c r="G44" i="54"/>
  <c r="F44" i="54"/>
  <c r="K43" i="54"/>
  <c r="J43" i="54"/>
  <c r="I43" i="54"/>
  <c r="H43" i="54"/>
  <c r="G43" i="54"/>
  <c r="F43" i="54"/>
  <c r="F38" i="54" s="1"/>
  <c r="K40" i="54"/>
  <c r="G40" i="54"/>
  <c r="F40" i="54"/>
  <c r="K33" i="54"/>
  <c r="J33" i="54"/>
  <c r="I33" i="54"/>
  <c r="H33" i="54"/>
  <c r="G33" i="54"/>
  <c r="F33" i="54"/>
  <c r="K32" i="54"/>
  <c r="J32" i="54"/>
  <c r="I32" i="54"/>
  <c r="H32" i="54"/>
  <c r="G32" i="54"/>
  <c r="F32" i="54"/>
  <c r="K31" i="54"/>
  <c r="J31" i="54"/>
  <c r="I31" i="54"/>
  <c r="H31" i="54"/>
  <c r="G31" i="54"/>
  <c r="F31" i="54"/>
  <c r="K30" i="54"/>
  <c r="J30" i="54"/>
  <c r="I30" i="54"/>
  <c r="H30" i="54"/>
  <c r="G30" i="54"/>
  <c r="F30" i="54"/>
  <c r="K29" i="54"/>
  <c r="J29" i="54"/>
  <c r="I29" i="54"/>
  <c r="H29" i="54"/>
  <c r="G29" i="54"/>
  <c r="F29" i="54"/>
  <c r="K28" i="54"/>
  <c r="K19" i="54" s="1"/>
  <c r="J28" i="54"/>
  <c r="I28" i="54"/>
  <c r="I19" i="54" s="1"/>
  <c r="H28" i="54"/>
  <c r="G28" i="54"/>
  <c r="F28" i="54"/>
  <c r="F19" i="54" s="1"/>
  <c r="K27" i="54"/>
  <c r="J27" i="54"/>
  <c r="I27" i="54"/>
  <c r="H27" i="54"/>
  <c r="G27" i="54"/>
  <c r="F27" i="54"/>
  <c r="K15" i="54"/>
  <c r="J15" i="54"/>
  <c r="I15" i="54"/>
  <c r="H15" i="54"/>
  <c r="G15" i="54"/>
  <c r="F15" i="54"/>
  <c r="K14" i="54"/>
  <c r="J14" i="54"/>
  <c r="I14" i="54"/>
  <c r="H14" i="54"/>
  <c r="G14" i="54"/>
  <c r="F14" i="54"/>
  <c r="K13" i="54"/>
  <c r="J13" i="54"/>
  <c r="I13" i="54"/>
  <c r="H13" i="54"/>
  <c r="G13" i="54"/>
  <c r="F13" i="54"/>
  <c r="K12" i="54"/>
  <c r="J12" i="54"/>
  <c r="I12" i="54"/>
  <c r="H12" i="54"/>
  <c r="G12" i="54"/>
  <c r="F12" i="54"/>
  <c r="K11" i="54"/>
  <c r="K6" i="54" s="1"/>
  <c r="J11" i="54"/>
  <c r="I11" i="54"/>
  <c r="I7" i="54" s="1"/>
  <c r="H11" i="54"/>
  <c r="G11" i="54"/>
  <c r="F11" i="54"/>
  <c r="F7" i="54" s="1"/>
  <c r="K10" i="54"/>
  <c r="J10" i="54"/>
  <c r="I10" i="54"/>
  <c r="H10" i="54"/>
  <c r="G10" i="54"/>
  <c r="F10" i="54"/>
  <c r="K9" i="54"/>
  <c r="K4" i="54" s="1"/>
  <c r="J9" i="54"/>
  <c r="I9" i="54"/>
  <c r="I5" i="54" s="1"/>
  <c r="H9" i="54"/>
  <c r="G9" i="54"/>
  <c r="F9" i="54"/>
  <c r="F4" i="54" s="1"/>
  <c r="F6" i="54"/>
  <c r="G65" i="53"/>
  <c r="H65" i="53"/>
  <c r="I65" i="53"/>
  <c r="I60" i="53" s="1"/>
  <c r="J65" i="53"/>
  <c r="K65" i="53"/>
  <c r="G66" i="53"/>
  <c r="G62" i="53" s="1"/>
  <c r="H66" i="53"/>
  <c r="I66" i="53"/>
  <c r="J66" i="53"/>
  <c r="K66" i="53"/>
  <c r="G68" i="53"/>
  <c r="H68" i="53"/>
  <c r="I68" i="53"/>
  <c r="J68" i="53"/>
  <c r="K68" i="53"/>
  <c r="K58" i="53" s="1"/>
  <c r="G69" i="53"/>
  <c r="H69" i="53"/>
  <c r="I69" i="53"/>
  <c r="I61" i="53" s="1"/>
  <c r="J69" i="53"/>
  <c r="J61" i="53" s="1"/>
  <c r="K69" i="53"/>
  <c r="G70" i="53"/>
  <c r="H70" i="53"/>
  <c r="I70" i="53"/>
  <c r="J70" i="53"/>
  <c r="K70" i="53"/>
  <c r="G71" i="53"/>
  <c r="H71" i="53"/>
  <c r="I71" i="53"/>
  <c r="J71" i="53"/>
  <c r="K71" i="53"/>
  <c r="K52" i="53" s="1"/>
  <c r="G75" i="53"/>
  <c r="H75" i="53"/>
  <c r="I75" i="53"/>
  <c r="J75" i="53"/>
  <c r="K75" i="53"/>
  <c r="G79" i="53"/>
  <c r="H79" i="53"/>
  <c r="I79" i="53"/>
  <c r="J79" i="53"/>
  <c r="K79" i="53"/>
  <c r="K60" i="53" s="1"/>
  <c r="G80" i="53"/>
  <c r="H80" i="53"/>
  <c r="I80" i="53"/>
  <c r="J80" i="53"/>
  <c r="K80" i="53"/>
  <c r="G81" i="53"/>
  <c r="H81" i="53"/>
  <c r="I81" i="53"/>
  <c r="J81" i="53"/>
  <c r="K81" i="53"/>
  <c r="F81" i="53"/>
  <c r="F80" i="53"/>
  <c r="F63" i="53" s="1"/>
  <c r="F79" i="53"/>
  <c r="F75" i="53"/>
  <c r="F71" i="53"/>
  <c r="F70" i="53"/>
  <c r="F69" i="53"/>
  <c r="F68" i="53"/>
  <c r="F66" i="53"/>
  <c r="F65" i="53"/>
  <c r="G43" i="53"/>
  <c r="H43" i="53"/>
  <c r="I43" i="53"/>
  <c r="J43" i="53"/>
  <c r="J38" i="53" s="1"/>
  <c r="K43" i="53"/>
  <c r="G44" i="53"/>
  <c r="G37" i="53" s="1"/>
  <c r="H44" i="53"/>
  <c r="H37" i="53" s="1"/>
  <c r="I44" i="53"/>
  <c r="J44" i="53"/>
  <c r="K44" i="53"/>
  <c r="K37" i="53" s="1"/>
  <c r="G45" i="53"/>
  <c r="H45" i="53"/>
  <c r="I45" i="53"/>
  <c r="J45" i="53"/>
  <c r="K45" i="53"/>
  <c r="K38" i="53" s="1"/>
  <c r="G46" i="53"/>
  <c r="G40" i="53" s="1"/>
  <c r="H46" i="53"/>
  <c r="I46" i="53"/>
  <c r="I40" i="53" s="1"/>
  <c r="J46" i="53"/>
  <c r="K46" i="53"/>
  <c r="G47" i="53"/>
  <c r="H47" i="53"/>
  <c r="I47" i="53"/>
  <c r="J47" i="53"/>
  <c r="J41" i="53" s="1"/>
  <c r="K47" i="53"/>
  <c r="G48" i="53"/>
  <c r="H48" i="53"/>
  <c r="I48" i="53"/>
  <c r="J48" i="53"/>
  <c r="K48" i="53"/>
  <c r="K41" i="53" s="1"/>
  <c r="F48" i="53"/>
  <c r="F47" i="53"/>
  <c r="F46" i="53"/>
  <c r="F45" i="53"/>
  <c r="F38" i="53" s="1"/>
  <c r="F44" i="53"/>
  <c r="F39" i="53" s="1"/>
  <c r="F43" i="53"/>
  <c r="G27" i="53"/>
  <c r="H27" i="53"/>
  <c r="I27" i="53"/>
  <c r="J27" i="53"/>
  <c r="K27" i="53"/>
  <c r="G28" i="53"/>
  <c r="G19" i="53" s="1"/>
  <c r="H28" i="53"/>
  <c r="H19" i="53" s="1"/>
  <c r="I28" i="53"/>
  <c r="J28" i="53"/>
  <c r="K28" i="53"/>
  <c r="K19" i="53" s="1"/>
  <c r="G29" i="53"/>
  <c r="G20" i="53" s="1"/>
  <c r="H29" i="53"/>
  <c r="I29" i="53"/>
  <c r="J29" i="53"/>
  <c r="K29" i="53"/>
  <c r="K20" i="53" s="1"/>
  <c r="K22" i="53" s="1"/>
  <c r="G30" i="53"/>
  <c r="G21" i="53" s="1"/>
  <c r="H30" i="53"/>
  <c r="I30" i="53"/>
  <c r="I21" i="53" s="1"/>
  <c r="J30" i="53"/>
  <c r="J21" i="53" s="1"/>
  <c r="K30" i="53"/>
  <c r="K21" i="53" s="1"/>
  <c r="G31" i="53"/>
  <c r="H31" i="53"/>
  <c r="I31" i="53"/>
  <c r="J31" i="53"/>
  <c r="K31" i="53"/>
  <c r="G32" i="53"/>
  <c r="H32" i="53"/>
  <c r="I32" i="53"/>
  <c r="J32" i="53"/>
  <c r="K32" i="53"/>
  <c r="G33" i="53"/>
  <c r="H33" i="53"/>
  <c r="I33" i="53"/>
  <c r="J33" i="53"/>
  <c r="K33" i="53"/>
  <c r="F33" i="53"/>
  <c r="F32" i="53"/>
  <c r="F31" i="53"/>
  <c r="F30" i="53"/>
  <c r="F29" i="53"/>
  <c r="F20" i="53" s="1"/>
  <c r="F28" i="53"/>
  <c r="F27" i="53"/>
  <c r="G9" i="53"/>
  <c r="H9" i="53"/>
  <c r="I9" i="53"/>
  <c r="J9" i="53"/>
  <c r="K9" i="53"/>
  <c r="G10" i="53"/>
  <c r="H10" i="53"/>
  <c r="I10" i="53"/>
  <c r="J10" i="53"/>
  <c r="K10" i="53"/>
  <c r="G11" i="53"/>
  <c r="H11" i="53"/>
  <c r="I11" i="53"/>
  <c r="J11" i="53"/>
  <c r="K11" i="53"/>
  <c r="G12" i="53"/>
  <c r="H12" i="53"/>
  <c r="I12" i="53"/>
  <c r="J12" i="53"/>
  <c r="K12" i="53"/>
  <c r="G13" i="53"/>
  <c r="H13" i="53"/>
  <c r="I13" i="53"/>
  <c r="J13" i="53"/>
  <c r="K13" i="53"/>
  <c r="G14" i="53"/>
  <c r="G6" i="53" s="1"/>
  <c r="H14" i="53"/>
  <c r="I14" i="53"/>
  <c r="J14" i="53"/>
  <c r="K14" i="53"/>
  <c r="G15" i="53"/>
  <c r="H15" i="53"/>
  <c r="I15" i="53"/>
  <c r="J15" i="53"/>
  <c r="K15" i="53"/>
  <c r="F15" i="53"/>
  <c r="F14" i="53"/>
  <c r="F7" i="53" s="1"/>
  <c r="F66" i="52"/>
  <c r="F45" i="52"/>
  <c r="F81" i="52"/>
  <c r="F69" i="52"/>
  <c r="F68" i="52"/>
  <c r="F65" i="52"/>
  <c r="G43" i="52"/>
  <c r="H43" i="52"/>
  <c r="I43" i="52"/>
  <c r="J43" i="52"/>
  <c r="J38" i="52" s="1"/>
  <c r="K43" i="52"/>
  <c r="G44" i="52"/>
  <c r="H44" i="52"/>
  <c r="I44" i="52"/>
  <c r="J44" i="52"/>
  <c r="J40" i="52" s="1"/>
  <c r="K44" i="52"/>
  <c r="G45" i="52"/>
  <c r="G38" i="52" s="1"/>
  <c r="H45" i="52"/>
  <c r="H38" i="52" s="1"/>
  <c r="I45" i="52"/>
  <c r="J45" i="52"/>
  <c r="K45" i="52"/>
  <c r="G46" i="52"/>
  <c r="G40" i="52" s="1"/>
  <c r="H46" i="52"/>
  <c r="H40" i="52" s="1"/>
  <c r="I46" i="52"/>
  <c r="J46" i="52"/>
  <c r="K46" i="52"/>
  <c r="G47" i="52"/>
  <c r="H47" i="52"/>
  <c r="I47" i="52"/>
  <c r="J47" i="52"/>
  <c r="K47" i="52"/>
  <c r="G48" i="52"/>
  <c r="H48" i="52"/>
  <c r="I48" i="52"/>
  <c r="J48" i="52"/>
  <c r="K48" i="52"/>
  <c r="F48" i="52"/>
  <c r="F47" i="52"/>
  <c r="F46" i="52"/>
  <c r="F44" i="52"/>
  <c r="F43" i="52"/>
  <c r="G65" i="52"/>
  <c r="H65" i="52"/>
  <c r="I65" i="52"/>
  <c r="J65" i="52"/>
  <c r="K65" i="52"/>
  <c r="K60" i="52" s="1"/>
  <c r="G66" i="52"/>
  <c r="G62" i="52" s="1"/>
  <c r="H66" i="52"/>
  <c r="I66" i="52"/>
  <c r="J66" i="52"/>
  <c r="K66" i="52"/>
  <c r="K53" i="52" s="1"/>
  <c r="G68" i="52"/>
  <c r="H68" i="52"/>
  <c r="I68" i="52"/>
  <c r="J68" i="52"/>
  <c r="K68" i="52"/>
  <c r="G69" i="52"/>
  <c r="H69" i="52"/>
  <c r="H61" i="52" s="1"/>
  <c r="I69" i="52"/>
  <c r="J69" i="52"/>
  <c r="K69" i="52"/>
  <c r="G70" i="52"/>
  <c r="H70" i="52"/>
  <c r="H52" i="52" s="1"/>
  <c r="I70" i="52"/>
  <c r="I58" i="52" s="1"/>
  <c r="J70" i="52"/>
  <c r="J53" i="52" s="1"/>
  <c r="K70" i="52"/>
  <c r="G71" i="52"/>
  <c r="H71" i="52"/>
  <c r="I71" i="52"/>
  <c r="J71" i="52"/>
  <c r="K71" i="52"/>
  <c r="G75" i="52"/>
  <c r="H75" i="52"/>
  <c r="I75" i="52"/>
  <c r="J75" i="52"/>
  <c r="K75" i="52"/>
  <c r="G79" i="52"/>
  <c r="G61" i="52" s="1"/>
  <c r="H79" i="52"/>
  <c r="I79" i="52"/>
  <c r="J79" i="52"/>
  <c r="K79" i="52"/>
  <c r="G80" i="52"/>
  <c r="H80" i="52"/>
  <c r="H62" i="52" s="1"/>
  <c r="I80" i="52"/>
  <c r="J80" i="52"/>
  <c r="J62" i="52" s="1"/>
  <c r="K80" i="52"/>
  <c r="G81" i="52"/>
  <c r="H81" i="52"/>
  <c r="I81" i="52"/>
  <c r="J81" i="52"/>
  <c r="K81" i="52"/>
  <c r="F80" i="52"/>
  <c r="F79" i="52"/>
  <c r="F75" i="52"/>
  <c r="F71" i="52"/>
  <c r="F52" i="52" s="1"/>
  <c r="F70" i="52"/>
  <c r="G27" i="52"/>
  <c r="H27" i="52"/>
  <c r="I27" i="52"/>
  <c r="J27" i="52"/>
  <c r="K27" i="52"/>
  <c r="G28" i="52"/>
  <c r="G19" i="52" s="1"/>
  <c r="H28" i="52"/>
  <c r="H19" i="52" s="1"/>
  <c r="I28" i="52"/>
  <c r="J28" i="52"/>
  <c r="K28" i="52"/>
  <c r="K19" i="52" s="1"/>
  <c r="G29" i="52"/>
  <c r="G20" i="52" s="1"/>
  <c r="G22" i="52" s="1"/>
  <c r="H29" i="52"/>
  <c r="H20" i="52" s="1"/>
  <c r="I29" i="52"/>
  <c r="J29" i="52"/>
  <c r="K29" i="52"/>
  <c r="K20" i="52" s="1"/>
  <c r="G30" i="52"/>
  <c r="G21" i="52" s="1"/>
  <c r="H30" i="52"/>
  <c r="H21" i="52" s="1"/>
  <c r="I30" i="52"/>
  <c r="J30" i="52"/>
  <c r="K30" i="52"/>
  <c r="G31" i="52"/>
  <c r="H31" i="52"/>
  <c r="I31" i="52"/>
  <c r="J31" i="52"/>
  <c r="K31" i="52"/>
  <c r="G32" i="52"/>
  <c r="H32" i="52"/>
  <c r="I32" i="52"/>
  <c r="J32" i="52"/>
  <c r="K32" i="52"/>
  <c r="G33" i="52"/>
  <c r="H33" i="52"/>
  <c r="I33" i="52"/>
  <c r="J33" i="52"/>
  <c r="K33" i="52"/>
  <c r="F33" i="52"/>
  <c r="F32" i="52"/>
  <c r="F31" i="52"/>
  <c r="F30" i="52"/>
  <c r="F21" i="52" s="1"/>
  <c r="F29" i="52"/>
  <c r="F20" i="52" s="1"/>
  <c r="F28" i="52"/>
  <c r="F19" i="52" s="1"/>
  <c r="F27" i="52"/>
  <c r="G9" i="52"/>
  <c r="H9" i="52"/>
  <c r="I9" i="52"/>
  <c r="J9" i="52"/>
  <c r="K9" i="52"/>
  <c r="G10" i="52"/>
  <c r="H10" i="52"/>
  <c r="I10" i="52"/>
  <c r="J10" i="52"/>
  <c r="K10" i="52"/>
  <c r="G11" i="52"/>
  <c r="H11" i="52"/>
  <c r="I11" i="52"/>
  <c r="J11" i="52"/>
  <c r="K11" i="52"/>
  <c r="G12" i="52"/>
  <c r="H12" i="52"/>
  <c r="I12" i="52"/>
  <c r="J12" i="52"/>
  <c r="K12" i="52"/>
  <c r="G13" i="52"/>
  <c r="H13" i="52"/>
  <c r="I13" i="52"/>
  <c r="J13" i="52"/>
  <c r="K13" i="52"/>
  <c r="G14" i="52"/>
  <c r="H14" i="52"/>
  <c r="I14" i="52"/>
  <c r="J14" i="52"/>
  <c r="K14" i="52"/>
  <c r="G15" i="52"/>
  <c r="H15" i="52"/>
  <c r="I15" i="52"/>
  <c r="J15" i="52"/>
  <c r="K15" i="52"/>
  <c r="F15" i="52"/>
  <c r="F14" i="52"/>
  <c r="F13" i="52"/>
  <c r="F12" i="52"/>
  <c r="F11" i="52"/>
  <c r="F7" i="52" s="1"/>
  <c r="F10" i="52"/>
  <c r="F6" i="52" s="1"/>
  <c r="F9" i="52"/>
  <c r="G65" i="51"/>
  <c r="H65" i="51"/>
  <c r="I65" i="51"/>
  <c r="J65" i="51"/>
  <c r="G66" i="51"/>
  <c r="H66" i="51"/>
  <c r="I66" i="51"/>
  <c r="I53" i="51" s="1"/>
  <c r="J66" i="51"/>
  <c r="G68" i="51"/>
  <c r="H68" i="51"/>
  <c r="I68" i="51"/>
  <c r="J68" i="51"/>
  <c r="J58" i="51" s="1"/>
  <c r="G69" i="51"/>
  <c r="G61" i="51" s="1"/>
  <c r="H69" i="51"/>
  <c r="I69" i="51"/>
  <c r="J69" i="51"/>
  <c r="G70" i="51"/>
  <c r="H70" i="51"/>
  <c r="I70" i="51"/>
  <c r="J70" i="51"/>
  <c r="G71" i="51"/>
  <c r="H71" i="51"/>
  <c r="I71" i="51"/>
  <c r="J71" i="51"/>
  <c r="G75" i="51"/>
  <c r="H75" i="51"/>
  <c r="I75" i="51"/>
  <c r="J75" i="51"/>
  <c r="G79" i="51"/>
  <c r="H79" i="51"/>
  <c r="I79" i="51"/>
  <c r="J79" i="51"/>
  <c r="G80" i="51"/>
  <c r="G62" i="51" s="1"/>
  <c r="H80" i="51"/>
  <c r="I80" i="51"/>
  <c r="J80" i="51"/>
  <c r="G81" i="51"/>
  <c r="H81" i="51"/>
  <c r="I81" i="51"/>
  <c r="J81" i="51"/>
  <c r="F81" i="51"/>
  <c r="F80" i="51"/>
  <c r="F79" i="51"/>
  <c r="F60" i="51" s="1"/>
  <c r="F75" i="51"/>
  <c r="F71" i="51"/>
  <c r="F70" i="51"/>
  <c r="F69" i="51"/>
  <c r="F61" i="51" s="1"/>
  <c r="F68" i="51"/>
  <c r="F58" i="51" s="1"/>
  <c r="F66" i="51"/>
  <c r="F65" i="51"/>
  <c r="F48" i="51"/>
  <c r="F47" i="51"/>
  <c r="F41" i="51" s="1"/>
  <c r="F46" i="51"/>
  <c r="F45" i="51"/>
  <c r="F44" i="51"/>
  <c r="F39" i="51" s="1"/>
  <c r="F43" i="51"/>
  <c r="F37" i="51" s="1"/>
  <c r="K48" i="51"/>
  <c r="K41" i="51" s="1"/>
  <c r="K47" i="51"/>
  <c r="K27" i="51"/>
  <c r="K70" i="51"/>
  <c r="K53" i="51" s="1"/>
  <c r="G48" i="51"/>
  <c r="H48" i="51"/>
  <c r="I48" i="51"/>
  <c r="J48" i="51"/>
  <c r="G43" i="51"/>
  <c r="H43" i="51"/>
  <c r="I43" i="51"/>
  <c r="I37" i="51" s="1"/>
  <c r="J43" i="51"/>
  <c r="J38" i="51" s="1"/>
  <c r="K43" i="51"/>
  <c r="G44" i="51"/>
  <c r="H44" i="51"/>
  <c r="H37" i="51" s="1"/>
  <c r="I44" i="51"/>
  <c r="I40" i="51" s="1"/>
  <c r="J44" i="51"/>
  <c r="K44" i="51"/>
  <c r="G45" i="51"/>
  <c r="G39" i="51" s="1"/>
  <c r="H45" i="51"/>
  <c r="H38" i="51" s="1"/>
  <c r="I45" i="51"/>
  <c r="J45" i="51"/>
  <c r="K45" i="51"/>
  <c r="G46" i="51"/>
  <c r="G40" i="51" s="1"/>
  <c r="H46" i="51"/>
  <c r="I46" i="51"/>
  <c r="J46" i="51"/>
  <c r="K46" i="51"/>
  <c r="G47" i="51"/>
  <c r="G41" i="51" s="1"/>
  <c r="H47" i="51"/>
  <c r="H41" i="51" s="1"/>
  <c r="I47" i="51"/>
  <c r="I41" i="51" s="1"/>
  <c r="J47" i="51"/>
  <c r="J41" i="51" s="1"/>
  <c r="G27" i="51"/>
  <c r="H27" i="51"/>
  <c r="I27" i="51"/>
  <c r="J27" i="51"/>
  <c r="G28" i="51"/>
  <c r="G19" i="51" s="1"/>
  <c r="H28" i="51"/>
  <c r="H19" i="51" s="1"/>
  <c r="I28" i="51"/>
  <c r="I19" i="51" s="1"/>
  <c r="J28" i="51"/>
  <c r="J19" i="51" s="1"/>
  <c r="K28" i="51"/>
  <c r="G29" i="51"/>
  <c r="G20" i="51" s="1"/>
  <c r="H29" i="51"/>
  <c r="H20" i="51" s="1"/>
  <c r="I29" i="51"/>
  <c r="J29" i="51"/>
  <c r="K29" i="51"/>
  <c r="G30" i="51"/>
  <c r="G21" i="51" s="1"/>
  <c r="H30" i="51"/>
  <c r="H21" i="51" s="1"/>
  <c r="I30" i="51"/>
  <c r="I21" i="51" s="1"/>
  <c r="J30" i="51"/>
  <c r="K30" i="51"/>
  <c r="K21" i="51" s="1"/>
  <c r="G31" i="51"/>
  <c r="H31" i="51"/>
  <c r="I31" i="51"/>
  <c r="J31" i="51"/>
  <c r="K31" i="51"/>
  <c r="G32" i="51"/>
  <c r="H32" i="51"/>
  <c r="I32" i="51"/>
  <c r="J32" i="51"/>
  <c r="K32" i="51"/>
  <c r="G33" i="51"/>
  <c r="H33" i="51"/>
  <c r="I33" i="51"/>
  <c r="J33" i="51"/>
  <c r="K33" i="51"/>
  <c r="F33" i="51"/>
  <c r="F32" i="51"/>
  <c r="F31" i="51"/>
  <c r="F30" i="51"/>
  <c r="F29" i="51"/>
  <c r="F28" i="51"/>
  <c r="F27" i="51"/>
  <c r="G9" i="51"/>
  <c r="H9" i="51"/>
  <c r="I9" i="51"/>
  <c r="J9" i="51"/>
  <c r="K9" i="51"/>
  <c r="G10" i="51"/>
  <c r="H10" i="51"/>
  <c r="I10" i="51"/>
  <c r="J10" i="51"/>
  <c r="K10" i="51"/>
  <c r="G11" i="51"/>
  <c r="H11" i="51"/>
  <c r="H7" i="51" s="1"/>
  <c r="I11" i="51"/>
  <c r="J11" i="51"/>
  <c r="J6" i="51" s="1"/>
  <c r="K11" i="51"/>
  <c r="G12" i="51"/>
  <c r="H12" i="51"/>
  <c r="I12" i="51"/>
  <c r="J12" i="51"/>
  <c r="K12" i="51"/>
  <c r="G13" i="51"/>
  <c r="H13" i="51"/>
  <c r="I13" i="51"/>
  <c r="J13" i="51"/>
  <c r="K13" i="51"/>
  <c r="G14" i="51"/>
  <c r="H14" i="51"/>
  <c r="I14" i="51"/>
  <c r="I6" i="51" s="1"/>
  <c r="J14" i="51"/>
  <c r="K14" i="51"/>
  <c r="G15" i="51"/>
  <c r="H15" i="51"/>
  <c r="I15" i="51"/>
  <c r="J15" i="51"/>
  <c r="K15" i="51"/>
  <c r="F15" i="51"/>
  <c r="F14" i="51"/>
  <c r="F13" i="51"/>
  <c r="F12" i="51"/>
  <c r="F11" i="51"/>
  <c r="F7" i="51" s="1"/>
  <c r="F10" i="51"/>
  <c r="F9" i="51"/>
  <c r="G65" i="50"/>
  <c r="G60" i="50" s="1"/>
  <c r="H65" i="50"/>
  <c r="I65" i="50"/>
  <c r="J65" i="50"/>
  <c r="G66" i="50"/>
  <c r="H66" i="50"/>
  <c r="I66" i="50"/>
  <c r="J66" i="50"/>
  <c r="G68" i="50"/>
  <c r="H68" i="50"/>
  <c r="I68" i="50"/>
  <c r="J68" i="50"/>
  <c r="G69" i="50"/>
  <c r="G61" i="50" s="1"/>
  <c r="H69" i="50"/>
  <c r="I69" i="50"/>
  <c r="J69" i="50"/>
  <c r="G70" i="50"/>
  <c r="H70" i="50"/>
  <c r="I70" i="50"/>
  <c r="J70" i="50"/>
  <c r="G71" i="50"/>
  <c r="H71" i="50"/>
  <c r="I71" i="50"/>
  <c r="I52" i="50" s="1"/>
  <c r="J71" i="50"/>
  <c r="G75" i="50"/>
  <c r="H75" i="50"/>
  <c r="I75" i="50"/>
  <c r="J75" i="50"/>
  <c r="G79" i="50"/>
  <c r="H79" i="50"/>
  <c r="I79" i="50"/>
  <c r="J79" i="50"/>
  <c r="J61" i="50" s="1"/>
  <c r="G80" i="50"/>
  <c r="G62" i="50" s="1"/>
  <c r="H80" i="50"/>
  <c r="H62" i="50" s="1"/>
  <c r="I80" i="50"/>
  <c r="I63" i="50" s="1"/>
  <c r="J80" i="50"/>
  <c r="G81" i="50"/>
  <c r="H81" i="50"/>
  <c r="I81" i="50"/>
  <c r="J81" i="50"/>
  <c r="F81" i="50"/>
  <c r="F80" i="50"/>
  <c r="F79" i="50"/>
  <c r="F75" i="50"/>
  <c r="F71" i="50"/>
  <c r="F70" i="50"/>
  <c r="F69" i="50"/>
  <c r="F62" i="50" s="1"/>
  <c r="F66" i="50"/>
  <c r="F65" i="50"/>
  <c r="F60" i="50" s="1"/>
  <c r="G43" i="50"/>
  <c r="G37" i="50" s="1"/>
  <c r="H43" i="50"/>
  <c r="I43" i="50"/>
  <c r="J43" i="50"/>
  <c r="G44" i="50"/>
  <c r="H44" i="50"/>
  <c r="I44" i="50"/>
  <c r="I40" i="50" s="1"/>
  <c r="J44" i="50"/>
  <c r="G45" i="50"/>
  <c r="G39" i="50" s="1"/>
  <c r="H45" i="50"/>
  <c r="H38" i="50" s="1"/>
  <c r="I45" i="50"/>
  <c r="J45" i="50"/>
  <c r="G46" i="50"/>
  <c r="H46" i="50"/>
  <c r="I46" i="50"/>
  <c r="J46" i="50"/>
  <c r="G47" i="50"/>
  <c r="H47" i="50"/>
  <c r="I47" i="50"/>
  <c r="J47" i="50"/>
  <c r="G48" i="50"/>
  <c r="H48" i="50"/>
  <c r="H41" i="50" s="1"/>
  <c r="I48" i="50"/>
  <c r="J48" i="50"/>
  <c r="F48" i="50"/>
  <c r="F47" i="50"/>
  <c r="F46" i="50"/>
  <c r="F45" i="50"/>
  <c r="F44" i="50"/>
  <c r="F43" i="50"/>
  <c r="G27" i="50"/>
  <c r="H27" i="50"/>
  <c r="I27" i="50"/>
  <c r="J27" i="50"/>
  <c r="G28" i="50"/>
  <c r="H28" i="50"/>
  <c r="I28" i="50"/>
  <c r="I19" i="50" s="1"/>
  <c r="J28" i="50"/>
  <c r="G29" i="50"/>
  <c r="H29" i="50"/>
  <c r="I29" i="50"/>
  <c r="J29" i="50"/>
  <c r="G30" i="50"/>
  <c r="H30" i="50"/>
  <c r="I30" i="50"/>
  <c r="I21" i="50" s="1"/>
  <c r="J30" i="50"/>
  <c r="J21" i="50" s="1"/>
  <c r="G31" i="50"/>
  <c r="H31" i="50"/>
  <c r="I31" i="50"/>
  <c r="J31" i="50"/>
  <c r="G32" i="50"/>
  <c r="H32" i="50"/>
  <c r="I32" i="50"/>
  <c r="J32" i="50"/>
  <c r="G33" i="50"/>
  <c r="H33" i="50"/>
  <c r="I33" i="50"/>
  <c r="J33" i="50"/>
  <c r="F33" i="50"/>
  <c r="F32" i="50"/>
  <c r="F31" i="50"/>
  <c r="F30" i="50"/>
  <c r="F21" i="50" s="1"/>
  <c r="F29" i="50"/>
  <c r="F20" i="50" s="1"/>
  <c r="F28" i="50"/>
  <c r="F19" i="50" s="1"/>
  <c r="F27" i="50"/>
  <c r="G9" i="50"/>
  <c r="H9" i="50"/>
  <c r="I9" i="50"/>
  <c r="J9" i="50"/>
  <c r="G10" i="50"/>
  <c r="H10" i="50"/>
  <c r="I10" i="50"/>
  <c r="J10" i="50"/>
  <c r="G11" i="50"/>
  <c r="H11" i="50"/>
  <c r="I11" i="50"/>
  <c r="J11" i="50"/>
  <c r="G12" i="50"/>
  <c r="H12" i="50"/>
  <c r="I12" i="50"/>
  <c r="J12" i="50"/>
  <c r="G13" i="50"/>
  <c r="H13" i="50"/>
  <c r="I13" i="50"/>
  <c r="J13" i="50"/>
  <c r="G14" i="50"/>
  <c r="H14" i="50"/>
  <c r="I14" i="50"/>
  <c r="J14" i="50"/>
  <c r="G15" i="50"/>
  <c r="H15" i="50"/>
  <c r="I15" i="50"/>
  <c r="J15" i="50"/>
  <c r="F15" i="50"/>
  <c r="F14" i="50"/>
  <c r="F6" i="50" s="1"/>
  <c r="F13" i="50"/>
  <c r="F12" i="50"/>
  <c r="F11" i="50"/>
  <c r="F10" i="50"/>
  <c r="F9" i="50"/>
  <c r="G65" i="49"/>
  <c r="H65" i="49"/>
  <c r="I65" i="49"/>
  <c r="J65" i="49"/>
  <c r="K65" i="49"/>
  <c r="G66" i="49"/>
  <c r="H66" i="49"/>
  <c r="I66" i="49"/>
  <c r="J66" i="49"/>
  <c r="K66" i="49"/>
  <c r="G68" i="49"/>
  <c r="G58" i="49" s="1"/>
  <c r="H68" i="49"/>
  <c r="I68" i="49"/>
  <c r="J68" i="49"/>
  <c r="J58" i="49" s="1"/>
  <c r="K68" i="49"/>
  <c r="K58" i="49" s="1"/>
  <c r="G69" i="49"/>
  <c r="H69" i="49"/>
  <c r="I69" i="49"/>
  <c r="J69" i="49"/>
  <c r="K69" i="49"/>
  <c r="G70" i="49"/>
  <c r="H70" i="49"/>
  <c r="I70" i="49"/>
  <c r="J70" i="49"/>
  <c r="K70" i="49"/>
  <c r="G71" i="49"/>
  <c r="H71" i="49"/>
  <c r="I71" i="49"/>
  <c r="J71" i="49"/>
  <c r="K71" i="49"/>
  <c r="G75" i="49"/>
  <c r="H75" i="49"/>
  <c r="I75" i="49"/>
  <c r="J75" i="49"/>
  <c r="K75" i="49"/>
  <c r="G79" i="49"/>
  <c r="H79" i="49"/>
  <c r="I79" i="49"/>
  <c r="J79" i="49"/>
  <c r="K79" i="49"/>
  <c r="G80" i="49"/>
  <c r="H80" i="49"/>
  <c r="I80" i="49"/>
  <c r="J80" i="49"/>
  <c r="K80" i="49"/>
  <c r="G81" i="49"/>
  <c r="H81" i="49"/>
  <c r="I81" i="49"/>
  <c r="J81" i="49"/>
  <c r="K81" i="49"/>
  <c r="F81" i="49"/>
  <c r="F80" i="49"/>
  <c r="F79" i="49"/>
  <c r="F75" i="49"/>
  <c r="F71" i="49"/>
  <c r="F70" i="49"/>
  <c r="F69" i="49"/>
  <c r="F68" i="49"/>
  <c r="F58" i="49" s="1"/>
  <c r="F66" i="49"/>
  <c r="F53" i="49" s="1"/>
  <c r="F65" i="49"/>
  <c r="G43" i="49"/>
  <c r="H43" i="49"/>
  <c r="I43" i="49"/>
  <c r="I38" i="49" s="1"/>
  <c r="J43" i="49"/>
  <c r="K43" i="49"/>
  <c r="G44" i="49"/>
  <c r="H44" i="49"/>
  <c r="I44" i="49"/>
  <c r="J44" i="49"/>
  <c r="K44" i="49"/>
  <c r="G45" i="49"/>
  <c r="G38" i="49" s="1"/>
  <c r="H45" i="49"/>
  <c r="I45" i="49"/>
  <c r="J45" i="49"/>
  <c r="K45" i="49"/>
  <c r="K38" i="49" s="1"/>
  <c r="G46" i="49"/>
  <c r="H46" i="49"/>
  <c r="I46" i="49"/>
  <c r="J46" i="49"/>
  <c r="K46" i="49"/>
  <c r="G47" i="49"/>
  <c r="H47" i="49"/>
  <c r="I47" i="49"/>
  <c r="J47" i="49"/>
  <c r="K47" i="49"/>
  <c r="G48" i="49"/>
  <c r="H48" i="49"/>
  <c r="I48" i="49"/>
  <c r="J48" i="49"/>
  <c r="K48" i="49"/>
  <c r="F48" i="49"/>
  <c r="F47" i="49"/>
  <c r="F46" i="49"/>
  <c r="F40" i="49" s="1"/>
  <c r="F45" i="49"/>
  <c r="F44" i="49"/>
  <c r="F39" i="49" s="1"/>
  <c r="F43" i="49"/>
  <c r="G27" i="49"/>
  <c r="H27" i="49"/>
  <c r="I27" i="49"/>
  <c r="J27" i="49"/>
  <c r="K27" i="49"/>
  <c r="G28" i="49"/>
  <c r="H28" i="49"/>
  <c r="I28" i="49"/>
  <c r="J28" i="49"/>
  <c r="K28" i="49"/>
  <c r="K19" i="49" s="1"/>
  <c r="G29" i="49"/>
  <c r="G20" i="49" s="1"/>
  <c r="H29" i="49"/>
  <c r="I29" i="49"/>
  <c r="J29" i="49"/>
  <c r="K29" i="49"/>
  <c r="K20" i="49" s="1"/>
  <c r="K22" i="49" s="1"/>
  <c r="G30" i="49"/>
  <c r="G21" i="49" s="1"/>
  <c r="H30" i="49"/>
  <c r="I30" i="49"/>
  <c r="J30" i="49"/>
  <c r="K30" i="49"/>
  <c r="K21" i="49" s="1"/>
  <c r="G31" i="49"/>
  <c r="H31" i="49"/>
  <c r="I31" i="49"/>
  <c r="J31" i="49"/>
  <c r="K31" i="49"/>
  <c r="G32" i="49"/>
  <c r="H32" i="49"/>
  <c r="I32" i="49"/>
  <c r="J32" i="49"/>
  <c r="K32" i="49"/>
  <c r="G33" i="49"/>
  <c r="H33" i="49"/>
  <c r="I33" i="49"/>
  <c r="J33" i="49"/>
  <c r="K33" i="49"/>
  <c r="F33" i="49"/>
  <c r="F32" i="49"/>
  <c r="F31" i="49"/>
  <c r="F30" i="49"/>
  <c r="F21" i="49" s="1"/>
  <c r="F29" i="49"/>
  <c r="F20" i="49" s="1"/>
  <c r="F22" i="49" s="1"/>
  <c r="F28" i="49"/>
  <c r="F19" i="49" s="1"/>
  <c r="F27" i="49"/>
  <c r="G9" i="49"/>
  <c r="H9" i="49"/>
  <c r="I9" i="49"/>
  <c r="J9" i="49"/>
  <c r="K9" i="49"/>
  <c r="G10" i="49"/>
  <c r="H10" i="49"/>
  <c r="I10" i="49"/>
  <c r="J10" i="49"/>
  <c r="K10" i="49"/>
  <c r="G11" i="49"/>
  <c r="H11" i="49"/>
  <c r="I11" i="49"/>
  <c r="J11" i="49"/>
  <c r="K11" i="49"/>
  <c r="G12" i="49"/>
  <c r="H12" i="49"/>
  <c r="I12" i="49"/>
  <c r="J12" i="49"/>
  <c r="K12" i="49"/>
  <c r="G13" i="49"/>
  <c r="H13" i="49"/>
  <c r="I13" i="49"/>
  <c r="J13" i="49"/>
  <c r="K13" i="49"/>
  <c r="G14" i="49"/>
  <c r="G6" i="49" s="1"/>
  <c r="H14" i="49"/>
  <c r="I14" i="49"/>
  <c r="J14" i="49"/>
  <c r="K14" i="49"/>
  <c r="G15" i="49"/>
  <c r="H15" i="49"/>
  <c r="I15" i="49"/>
  <c r="I4" i="49" s="1"/>
  <c r="J15" i="49"/>
  <c r="K15" i="49"/>
  <c r="F15" i="49"/>
  <c r="F14" i="49"/>
  <c r="F13" i="49"/>
  <c r="F12" i="49"/>
  <c r="F11" i="49"/>
  <c r="F10" i="49"/>
  <c r="F9" i="49"/>
  <c r="F13" i="53"/>
  <c r="F12" i="53"/>
  <c r="F11" i="53"/>
  <c r="F10" i="53"/>
  <c r="F9" i="53"/>
  <c r="K63" i="53"/>
  <c r="G63" i="53"/>
  <c r="H61" i="53"/>
  <c r="J60" i="53"/>
  <c r="H60" i="53"/>
  <c r="F60" i="53"/>
  <c r="I38" i="53"/>
  <c r="H38" i="53"/>
  <c r="H7" i="52"/>
  <c r="I62" i="52"/>
  <c r="J63" i="52"/>
  <c r="K61" i="52"/>
  <c r="J61" i="52"/>
  <c r="F38" i="52"/>
  <c r="I38" i="52"/>
  <c r="K7" i="52"/>
  <c r="K80" i="51"/>
  <c r="K79" i="51"/>
  <c r="K75" i="51"/>
  <c r="K71" i="51"/>
  <c r="K69" i="51"/>
  <c r="K68" i="51"/>
  <c r="K66" i="51"/>
  <c r="K65" i="51"/>
  <c r="K81" i="51"/>
  <c r="H59" i="51"/>
  <c r="F52" i="51"/>
  <c r="J61" i="51"/>
  <c r="H61" i="51"/>
  <c r="H60" i="51"/>
  <c r="H52" i="51"/>
  <c r="G37" i="51"/>
  <c r="F40" i="51"/>
  <c r="K38" i="51"/>
  <c r="I38" i="51"/>
  <c r="K37" i="51"/>
  <c r="I62" i="50"/>
  <c r="I61" i="50"/>
  <c r="F68" i="50"/>
  <c r="H63" i="50"/>
  <c r="H61" i="50"/>
  <c r="J53" i="50"/>
  <c r="I53" i="50"/>
  <c r="H53" i="50"/>
  <c r="F40" i="50"/>
  <c r="H39" i="50"/>
  <c r="F39" i="50"/>
  <c r="H37" i="50"/>
  <c r="F37" i="50"/>
  <c r="H40" i="50"/>
  <c r="G40" i="50"/>
  <c r="J7" i="50"/>
  <c r="G65" i="36"/>
  <c r="H65" i="36"/>
  <c r="I65" i="36"/>
  <c r="J65" i="36"/>
  <c r="K65" i="36"/>
  <c r="K52" i="36" s="1"/>
  <c r="G68" i="36"/>
  <c r="H68" i="36"/>
  <c r="I68" i="36"/>
  <c r="I58" i="36" s="1"/>
  <c r="J68" i="36"/>
  <c r="J58" i="36" s="1"/>
  <c r="K68" i="36"/>
  <c r="G69" i="36"/>
  <c r="H69" i="36"/>
  <c r="I69" i="36"/>
  <c r="J69" i="36"/>
  <c r="K69" i="36"/>
  <c r="K59" i="36" s="1"/>
  <c r="G70" i="36"/>
  <c r="H70" i="36"/>
  <c r="I70" i="36"/>
  <c r="J70" i="36"/>
  <c r="K70" i="36"/>
  <c r="G71" i="36"/>
  <c r="H71" i="36"/>
  <c r="I71" i="36"/>
  <c r="J71" i="36"/>
  <c r="K71" i="36"/>
  <c r="G75" i="36"/>
  <c r="H75" i="36"/>
  <c r="I75" i="36"/>
  <c r="J75" i="36"/>
  <c r="K75" i="36"/>
  <c r="G79" i="36"/>
  <c r="H79" i="36"/>
  <c r="I79" i="36"/>
  <c r="J79" i="36"/>
  <c r="K79" i="36"/>
  <c r="G80" i="36"/>
  <c r="H80" i="36"/>
  <c r="I80" i="36"/>
  <c r="J80" i="36"/>
  <c r="K80" i="36"/>
  <c r="G81" i="36"/>
  <c r="H81" i="36"/>
  <c r="I81" i="36"/>
  <c r="J81" i="36"/>
  <c r="K81" i="36"/>
  <c r="F81" i="36"/>
  <c r="F80" i="36"/>
  <c r="F79" i="36"/>
  <c r="F75" i="36"/>
  <c r="F71" i="36"/>
  <c r="F70" i="36"/>
  <c r="F69" i="36"/>
  <c r="F68" i="36"/>
  <c r="F65" i="36"/>
  <c r="G43" i="36"/>
  <c r="G37" i="36" s="1"/>
  <c r="H43" i="36"/>
  <c r="I43" i="36"/>
  <c r="J43" i="36"/>
  <c r="K43" i="36"/>
  <c r="G44" i="36"/>
  <c r="H44" i="36"/>
  <c r="I44" i="36"/>
  <c r="J44" i="36"/>
  <c r="J37" i="36" s="1"/>
  <c r="K44" i="36"/>
  <c r="G45" i="36"/>
  <c r="H45" i="36"/>
  <c r="I45" i="36"/>
  <c r="J45" i="36"/>
  <c r="K45" i="36"/>
  <c r="G46" i="36"/>
  <c r="H46" i="36"/>
  <c r="I46" i="36"/>
  <c r="J46" i="36"/>
  <c r="K46" i="36"/>
  <c r="G47" i="36"/>
  <c r="H47" i="36"/>
  <c r="I47" i="36"/>
  <c r="J47" i="36"/>
  <c r="K47" i="36"/>
  <c r="G48" i="36"/>
  <c r="H48" i="36"/>
  <c r="I48" i="36"/>
  <c r="J48" i="36"/>
  <c r="K48" i="36"/>
  <c r="F48" i="36"/>
  <c r="F47" i="36"/>
  <c r="F46" i="36"/>
  <c r="F45" i="36"/>
  <c r="F44" i="36"/>
  <c r="F39" i="36" s="1"/>
  <c r="F43" i="36"/>
  <c r="G28" i="36"/>
  <c r="H28" i="36"/>
  <c r="I28" i="36"/>
  <c r="J28" i="36"/>
  <c r="K28" i="36"/>
  <c r="G29" i="36"/>
  <c r="H29" i="36"/>
  <c r="I29" i="36"/>
  <c r="J29" i="36"/>
  <c r="K29" i="36"/>
  <c r="G30" i="36"/>
  <c r="G21" i="36" s="1"/>
  <c r="H30" i="36"/>
  <c r="I30" i="36"/>
  <c r="J30" i="36"/>
  <c r="K30" i="36"/>
  <c r="G31" i="36"/>
  <c r="H31" i="36"/>
  <c r="I31" i="36"/>
  <c r="J31" i="36"/>
  <c r="K31" i="36"/>
  <c r="G32" i="36"/>
  <c r="H32" i="36"/>
  <c r="I32" i="36"/>
  <c r="J32" i="36"/>
  <c r="K32" i="36"/>
  <c r="G33" i="36"/>
  <c r="H33" i="36"/>
  <c r="I33" i="36"/>
  <c r="J33" i="36"/>
  <c r="F33" i="36"/>
  <c r="F32" i="36"/>
  <c r="F31" i="36"/>
  <c r="F30" i="36"/>
  <c r="F29" i="36"/>
  <c r="F28" i="36"/>
  <c r="G15" i="36"/>
  <c r="H15" i="36"/>
  <c r="I15" i="36"/>
  <c r="J15" i="36"/>
  <c r="K15" i="36"/>
  <c r="G14" i="36"/>
  <c r="H14" i="36"/>
  <c r="I14" i="36"/>
  <c r="J14" i="36"/>
  <c r="K14" i="36"/>
  <c r="G13" i="36"/>
  <c r="H13" i="36"/>
  <c r="I13" i="36"/>
  <c r="J13" i="36"/>
  <c r="K13" i="36"/>
  <c r="G12" i="36"/>
  <c r="H12" i="36"/>
  <c r="I12" i="36"/>
  <c r="J12" i="36"/>
  <c r="K12" i="36"/>
  <c r="G11" i="36"/>
  <c r="G6" i="36" s="1"/>
  <c r="H11" i="36"/>
  <c r="I11" i="36"/>
  <c r="J11" i="36"/>
  <c r="K11" i="36"/>
  <c r="G10" i="36"/>
  <c r="H10" i="36"/>
  <c r="I10" i="36"/>
  <c r="J10" i="36"/>
  <c r="K10" i="36"/>
  <c r="G9" i="36"/>
  <c r="H9" i="36"/>
  <c r="I9" i="36"/>
  <c r="J9" i="36"/>
  <c r="K9" i="36"/>
  <c r="F15" i="36"/>
  <c r="F14" i="36"/>
  <c r="F13" i="36"/>
  <c r="F12" i="36"/>
  <c r="F11" i="36"/>
  <c r="F10" i="36"/>
  <c r="F9" i="36"/>
  <c r="G79" i="20"/>
  <c r="H79" i="20"/>
  <c r="I79" i="20"/>
  <c r="J79" i="20"/>
  <c r="K79" i="20"/>
  <c r="G80" i="20"/>
  <c r="H80" i="20"/>
  <c r="I80" i="20"/>
  <c r="J80" i="20"/>
  <c r="K80" i="20"/>
  <c r="G81" i="20"/>
  <c r="H81" i="20"/>
  <c r="I81" i="20"/>
  <c r="J81" i="20"/>
  <c r="K81" i="20"/>
  <c r="G75" i="20"/>
  <c r="H75" i="20"/>
  <c r="I75" i="20"/>
  <c r="J75" i="20"/>
  <c r="K75" i="20"/>
  <c r="G76" i="20"/>
  <c r="H76" i="20"/>
  <c r="I76" i="20"/>
  <c r="J76" i="20"/>
  <c r="K76" i="20"/>
  <c r="G77" i="20"/>
  <c r="H77" i="20"/>
  <c r="I77" i="20"/>
  <c r="J77" i="20"/>
  <c r="K77" i="20"/>
  <c r="G65" i="20"/>
  <c r="H65" i="20"/>
  <c r="I65" i="20"/>
  <c r="J65" i="20"/>
  <c r="K65" i="20"/>
  <c r="G66" i="20"/>
  <c r="G62" i="20" s="1"/>
  <c r="H66" i="20"/>
  <c r="H62" i="20" s="1"/>
  <c r="I66" i="20"/>
  <c r="J66" i="20"/>
  <c r="K66" i="20"/>
  <c r="G67" i="20"/>
  <c r="H67" i="20"/>
  <c r="I67" i="20"/>
  <c r="J67" i="20"/>
  <c r="K67" i="20"/>
  <c r="G68" i="20"/>
  <c r="H68" i="20"/>
  <c r="I68" i="20"/>
  <c r="J68" i="20"/>
  <c r="K68" i="20"/>
  <c r="G69" i="20"/>
  <c r="H69" i="20"/>
  <c r="I69" i="20"/>
  <c r="J69" i="20"/>
  <c r="K69" i="20"/>
  <c r="G70" i="20"/>
  <c r="H70" i="20"/>
  <c r="I70" i="20"/>
  <c r="J70" i="20"/>
  <c r="K70" i="20"/>
  <c r="G71" i="20"/>
  <c r="H71" i="20"/>
  <c r="I71" i="20"/>
  <c r="J71" i="20"/>
  <c r="K71" i="20"/>
  <c r="G72" i="20"/>
  <c r="H72" i="20"/>
  <c r="I72" i="20"/>
  <c r="J72" i="20"/>
  <c r="K72" i="20"/>
  <c r="G73" i="20"/>
  <c r="H73" i="20"/>
  <c r="I73" i="20"/>
  <c r="J73" i="20"/>
  <c r="K73" i="20"/>
  <c r="G48" i="20"/>
  <c r="G41" i="20" s="1"/>
  <c r="H48" i="20"/>
  <c r="I48" i="20"/>
  <c r="J48" i="20"/>
  <c r="K48" i="20"/>
  <c r="G47" i="20"/>
  <c r="H47" i="20"/>
  <c r="I47" i="20"/>
  <c r="J47" i="20"/>
  <c r="K47" i="20"/>
  <c r="G46" i="20"/>
  <c r="H46" i="20"/>
  <c r="I46" i="20"/>
  <c r="J46" i="20"/>
  <c r="K46" i="20"/>
  <c r="G45" i="20"/>
  <c r="H45" i="20"/>
  <c r="I45" i="20"/>
  <c r="J45" i="20"/>
  <c r="K45" i="20"/>
  <c r="G44" i="20"/>
  <c r="H44" i="20"/>
  <c r="I44" i="20"/>
  <c r="J44" i="20"/>
  <c r="K44" i="20"/>
  <c r="G43" i="20"/>
  <c r="H43" i="20"/>
  <c r="I43" i="20"/>
  <c r="J43" i="20"/>
  <c r="J38" i="20" s="1"/>
  <c r="K43" i="20"/>
  <c r="G33" i="20"/>
  <c r="H33" i="20"/>
  <c r="I33" i="20"/>
  <c r="J33" i="20"/>
  <c r="K33" i="20"/>
  <c r="G32" i="20"/>
  <c r="H32" i="20"/>
  <c r="I32" i="20"/>
  <c r="J32" i="20"/>
  <c r="K32" i="20"/>
  <c r="G31" i="20"/>
  <c r="H31" i="20"/>
  <c r="I31" i="20"/>
  <c r="J31" i="20"/>
  <c r="K31" i="20"/>
  <c r="G30" i="20"/>
  <c r="H30" i="20"/>
  <c r="I30" i="20"/>
  <c r="J30" i="20"/>
  <c r="K30" i="20"/>
  <c r="G29" i="20"/>
  <c r="H29" i="20"/>
  <c r="I29" i="20"/>
  <c r="I20" i="20" s="1"/>
  <c r="J29" i="20"/>
  <c r="J20" i="20" s="1"/>
  <c r="K29" i="20"/>
  <c r="K20" i="20" s="1"/>
  <c r="G28" i="20"/>
  <c r="G19" i="20" s="1"/>
  <c r="H28" i="20"/>
  <c r="I28" i="20"/>
  <c r="J28" i="20"/>
  <c r="J19" i="20" s="1"/>
  <c r="K28" i="20"/>
  <c r="G27" i="20"/>
  <c r="H27" i="20"/>
  <c r="I27" i="20"/>
  <c r="J27" i="20"/>
  <c r="K27" i="20"/>
  <c r="G15" i="20"/>
  <c r="H15" i="20"/>
  <c r="I15" i="20"/>
  <c r="J15" i="20"/>
  <c r="K15" i="20"/>
  <c r="G14" i="20"/>
  <c r="H14" i="20"/>
  <c r="I14" i="20"/>
  <c r="J14" i="20"/>
  <c r="K14" i="20"/>
  <c r="G13" i="20"/>
  <c r="H13" i="20"/>
  <c r="I13" i="20"/>
  <c r="J13" i="20"/>
  <c r="K13" i="20"/>
  <c r="G12" i="20"/>
  <c r="H12" i="20"/>
  <c r="I12" i="20"/>
  <c r="J12" i="20"/>
  <c r="K12" i="20"/>
  <c r="G11" i="20"/>
  <c r="H11" i="20"/>
  <c r="I11" i="20"/>
  <c r="J11" i="20"/>
  <c r="K11" i="20"/>
  <c r="G10" i="20"/>
  <c r="H10" i="20"/>
  <c r="I10" i="20"/>
  <c r="J10" i="20"/>
  <c r="K10" i="20"/>
  <c r="G9" i="20"/>
  <c r="H9" i="20"/>
  <c r="I9" i="20"/>
  <c r="J9" i="20"/>
  <c r="K9" i="20"/>
  <c r="F81" i="20"/>
  <c r="F80" i="20"/>
  <c r="F79" i="20"/>
  <c r="F77" i="20"/>
  <c r="F76" i="20"/>
  <c r="F75" i="20"/>
  <c r="F73" i="20"/>
  <c r="F72" i="20"/>
  <c r="F71" i="20"/>
  <c r="F70" i="20"/>
  <c r="F53" i="20" s="1"/>
  <c r="F69" i="20"/>
  <c r="F68" i="20"/>
  <c r="F67" i="20"/>
  <c r="F66" i="20"/>
  <c r="F65" i="20"/>
  <c r="F48" i="20"/>
  <c r="F47" i="20"/>
  <c r="F46" i="20"/>
  <c r="F45" i="20"/>
  <c r="F44" i="20"/>
  <c r="F43" i="20"/>
  <c r="F33" i="20"/>
  <c r="F32" i="20"/>
  <c r="F31" i="20"/>
  <c r="F30" i="20"/>
  <c r="F29" i="20"/>
  <c r="F28" i="20"/>
  <c r="F27" i="20"/>
  <c r="F15" i="20"/>
  <c r="F14" i="20"/>
  <c r="F13" i="20"/>
  <c r="F12" i="20"/>
  <c r="F11" i="20"/>
  <c r="F10" i="20"/>
  <c r="F9" i="20"/>
  <c r="F38" i="49"/>
  <c r="G37" i="49"/>
  <c r="K7" i="49"/>
  <c r="F6" i="49"/>
  <c r="G40" i="36"/>
  <c r="I38" i="20"/>
  <c r="K81" i="42"/>
  <c r="J81" i="42"/>
  <c r="I81" i="42"/>
  <c r="H81" i="42"/>
  <c r="G81" i="42"/>
  <c r="F81" i="42"/>
  <c r="K80" i="42"/>
  <c r="J80" i="42"/>
  <c r="I80" i="42"/>
  <c r="H80" i="42"/>
  <c r="G80" i="42"/>
  <c r="F80" i="42"/>
  <c r="K79" i="42"/>
  <c r="J79" i="42"/>
  <c r="I79" i="42"/>
  <c r="H79" i="42"/>
  <c r="G79" i="42"/>
  <c r="F79" i="42"/>
  <c r="K78" i="42"/>
  <c r="J78" i="42"/>
  <c r="I78" i="42"/>
  <c r="H78" i="42"/>
  <c r="G78" i="42"/>
  <c r="F78" i="42"/>
  <c r="K77" i="42"/>
  <c r="J77" i="42"/>
  <c r="I77" i="42"/>
  <c r="H77" i="42"/>
  <c r="G77" i="42"/>
  <c r="F77" i="42"/>
  <c r="K76" i="42"/>
  <c r="J76" i="42"/>
  <c r="I76" i="42"/>
  <c r="H76" i="42"/>
  <c r="G76" i="42"/>
  <c r="F76" i="42"/>
  <c r="K75" i="42"/>
  <c r="J75" i="42"/>
  <c r="I75" i="42"/>
  <c r="H75" i="42"/>
  <c r="G75" i="42"/>
  <c r="F75" i="42"/>
  <c r="K74" i="42"/>
  <c r="J74" i="42"/>
  <c r="I74" i="42"/>
  <c r="H74" i="42"/>
  <c r="G74" i="42"/>
  <c r="F74" i="42"/>
  <c r="K73" i="42"/>
  <c r="J73" i="42"/>
  <c r="I73" i="42"/>
  <c r="H73" i="42"/>
  <c r="G73" i="42"/>
  <c r="F73" i="42"/>
  <c r="K72" i="42"/>
  <c r="K55" i="42" s="1"/>
  <c r="J72" i="42"/>
  <c r="J55" i="42" s="1"/>
  <c r="I72" i="42"/>
  <c r="H72" i="42"/>
  <c r="H55" i="42" s="1"/>
  <c r="G72" i="42"/>
  <c r="F72" i="42"/>
  <c r="K71" i="42"/>
  <c r="J71" i="42"/>
  <c r="I71" i="42"/>
  <c r="H71" i="42"/>
  <c r="G71" i="42"/>
  <c r="F71" i="42"/>
  <c r="K70" i="42"/>
  <c r="J70" i="42"/>
  <c r="J59" i="42" s="1"/>
  <c r="I70" i="42"/>
  <c r="H70" i="42"/>
  <c r="G70" i="42"/>
  <c r="G52" i="42" s="1"/>
  <c r="F70" i="42"/>
  <c r="K69" i="42"/>
  <c r="K61" i="42" s="1"/>
  <c r="J69" i="42"/>
  <c r="J61" i="42" s="1"/>
  <c r="I69" i="42"/>
  <c r="I59" i="42" s="1"/>
  <c r="H69" i="42"/>
  <c r="G69" i="42"/>
  <c r="F69" i="42"/>
  <c r="F61" i="42" s="1"/>
  <c r="K68" i="42"/>
  <c r="J68" i="42"/>
  <c r="I68" i="42"/>
  <c r="H68" i="42"/>
  <c r="G68" i="42"/>
  <c r="G58" i="42" s="1"/>
  <c r="F68" i="42"/>
  <c r="K67" i="42"/>
  <c r="J67" i="42"/>
  <c r="I67" i="42"/>
  <c r="I54" i="42" s="1"/>
  <c r="H67" i="42"/>
  <c r="G67" i="42"/>
  <c r="F67" i="42"/>
  <c r="K66" i="42"/>
  <c r="K62" i="42" s="1"/>
  <c r="J66" i="42"/>
  <c r="J53" i="42" s="1"/>
  <c r="I66" i="42"/>
  <c r="I62" i="42" s="1"/>
  <c r="H66" i="42"/>
  <c r="H62" i="42" s="1"/>
  <c r="G66" i="42"/>
  <c r="G53" i="42" s="1"/>
  <c r="F66" i="42"/>
  <c r="F53" i="42" s="1"/>
  <c r="K65" i="42"/>
  <c r="J65" i="42"/>
  <c r="I65" i="42"/>
  <c r="I52" i="42" s="1"/>
  <c r="H65" i="42"/>
  <c r="G65" i="42"/>
  <c r="F65" i="42"/>
  <c r="F63" i="42" s="1"/>
  <c r="G61" i="42"/>
  <c r="H60" i="42"/>
  <c r="G60" i="42"/>
  <c r="F60" i="42"/>
  <c r="I56" i="42"/>
  <c r="H56" i="42"/>
  <c r="G56" i="42"/>
  <c r="F56" i="42"/>
  <c r="I55" i="42"/>
  <c r="F55" i="42"/>
  <c r="I53" i="42"/>
  <c r="K48" i="42"/>
  <c r="J48" i="42"/>
  <c r="I48" i="42"/>
  <c r="H48" i="42"/>
  <c r="G48" i="42"/>
  <c r="F48" i="42"/>
  <c r="K47" i="42"/>
  <c r="J47" i="42"/>
  <c r="J41" i="42" s="1"/>
  <c r="I47" i="42"/>
  <c r="H47" i="42"/>
  <c r="H41" i="42" s="1"/>
  <c r="G47" i="42"/>
  <c r="F47" i="42"/>
  <c r="K46" i="42"/>
  <c r="J46" i="42"/>
  <c r="I46" i="42"/>
  <c r="H46" i="42"/>
  <c r="G46" i="42"/>
  <c r="F46" i="42"/>
  <c r="K45" i="42"/>
  <c r="J45" i="42"/>
  <c r="J39" i="42" s="1"/>
  <c r="I45" i="42"/>
  <c r="H45" i="42"/>
  <c r="G45" i="42"/>
  <c r="F45" i="42"/>
  <c r="K44" i="42"/>
  <c r="J44" i="42"/>
  <c r="I44" i="42"/>
  <c r="H44" i="42"/>
  <c r="G44" i="42"/>
  <c r="F44" i="42"/>
  <c r="K43" i="42"/>
  <c r="J43" i="42"/>
  <c r="J37" i="42" s="1"/>
  <c r="I43" i="42"/>
  <c r="H43" i="42"/>
  <c r="H38" i="42" s="1"/>
  <c r="G43" i="42"/>
  <c r="G38" i="42" s="1"/>
  <c r="F43" i="42"/>
  <c r="F38" i="42" s="1"/>
  <c r="J40" i="42"/>
  <c r="I40" i="42"/>
  <c r="K33" i="42"/>
  <c r="J33" i="42"/>
  <c r="I33" i="42"/>
  <c r="H33" i="42"/>
  <c r="G33" i="42"/>
  <c r="F33" i="42"/>
  <c r="K32" i="42"/>
  <c r="J32" i="42"/>
  <c r="I32" i="42"/>
  <c r="H32" i="42"/>
  <c r="G32" i="42"/>
  <c r="F32" i="42"/>
  <c r="K31" i="42"/>
  <c r="J31" i="42"/>
  <c r="I31" i="42"/>
  <c r="H31" i="42"/>
  <c r="G31" i="42"/>
  <c r="F31" i="42"/>
  <c r="K30" i="42"/>
  <c r="J30" i="42"/>
  <c r="I30" i="42"/>
  <c r="I21" i="42" s="1"/>
  <c r="H30" i="42"/>
  <c r="G30" i="42"/>
  <c r="F30" i="42"/>
  <c r="K29" i="42"/>
  <c r="J29" i="42"/>
  <c r="J20" i="42" s="1"/>
  <c r="I29" i="42"/>
  <c r="H29" i="42"/>
  <c r="G29" i="42"/>
  <c r="F29" i="42"/>
  <c r="K28" i="42"/>
  <c r="J28" i="42"/>
  <c r="I28" i="42"/>
  <c r="I19" i="42" s="1"/>
  <c r="H28" i="42"/>
  <c r="G28" i="42"/>
  <c r="F28" i="42"/>
  <c r="K27" i="42"/>
  <c r="J27" i="42"/>
  <c r="I27" i="42"/>
  <c r="H27" i="42"/>
  <c r="G27" i="42"/>
  <c r="F27" i="42"/>
  <c r="K15" i="42"/>
  <c r="J15" i="42"/>
  <c r="I15" i="42"/>
  <c r="H15" i="42"/>
  <c r="G15" i="42"/>
  <c r="F15" i="42"/>
  <c r="K14" i="42"/>
  <c r="J14" i="42"/>
  <c r="J6" i="42" s="1"/>
  <c r="I14" i="42"/>
  <c r="H14" i="42"/>
  <c r="H7" i="42" s="1"/>
  <c r="G14" i="42"/>
  <c r="F14" i="42"/>
  <c r="K13" i="42"/>
  <c r="J13" i="42"/>
  <c r="I13" i="42"/>
  <c r="H13" i="42"/>
  <c r="G13" i="42"/>
  <c r="F13" i="42"/>
  <c r="K12" i="42"/>
  <c r="J12" i="42"/>
  <c r="I12" i="42"/>
  <c r="H12" i="42"/>
  <c r="G12" i="42"/>
  <c r="F12" i="42"/>
  <c r="K11" i="42"/>
  <c r="J11" i="42"/>
  <c r="I11" i="42"/>
  <c r="H11" i="42"/>
  <c r="G11" i="42"/>
  <c r="F11" i="42"/>
  <c r="K10" i="42"/>
  <c r="J10" i="42"/>
  <c r="I10" i="42"/>
  <c r="I5" i="42" s="1"/>
  <c r="H10" i="42"/>
  <c r="H4" i="42" s="1"/>
  <c r="G10" i="42"/>
  <c r="F10" i="42"/>
  <c r="K9" i="42"/>
  <c r="J9" i="42"/>
  <c r="I9" i="42"/>
  <c r="H9" i="42"/>
  <c r="G9" i="42"/>
  <c r="F9" i="42"/>
  <c r="I6" i="42"/>
  <c r="I4" i="42"/>
  <c r="K81" i="46"/>
  <c r="J81" i="46"/>
  <c r="I81" i="46"/>
  <c r="H81" i="46"/>
  <c r="G81" i="46"/>
  <c r="F81" i="46"/>
  <c r="K80" i="46"/>
  <c r="J80" i="46"/>
  <c r="I80" i="46"/>
  <c r="H80" i="46"/>
  <c r="H63" i="46" s="1"/>
  <c r="G80" i="46"/>
  <c r="F80" i="46"/>
  <c r="F63" i="46" s="1"/>
  <c r="K79" i="46"/>
  <c r="J79" i="46"/>
  <c r="I79" i="46"/>
  <c r="H79" i="46"/>
  <c r="G79" i="46"/>
  <c r="F79" i="46"/>
  <c r="K78" i="46"/>
  <c r="J78" i="46"/>
  <c r="I78" i="46"/>
  <c r="H78" i="46"/>
  <c r="G78" i="46"/>
  <c r="F78" i="46"/>
  <c r="K77" i="46"/>
  <c r="J77" i="46"/>
  <c r="I77" i="46"/>
  <c r="H77" i="46"/>
  <c r="G77" i="46"/>
  <c r="F77" i="46"/>
  <c r="K76" i="46"/>
  <c r="J76" i="46"/>
  <c r="I76" i="46"/>
  <c r="H76" i="46"/>
  <c r="G76" i="46"/>
  <c r="F76" i="46"/>
  <c r="K75" i="46"/>
  <c r="J75" i="46"/>
  <c r="I75" i="46"/>
  <c r="H75" i="46"/>
  <c r="G75" i="46"/>
  <c r="F75" i="46"/>
  <c r="K74" i="46"/>
  <c r="K57" i="46" s="1"/>
  <c r="J74" i="46"/>
  <c r="J57" i="46" s="1"/>
  <c r="I74" i="46"/>
  <c r="H74" i="46"/>
  <c r="G74" i="46"/>
  <c r="F74" i="46"/>
  <c r="K73" i="46"/>
  <c r="K56" i="46" s="1"/>
  <c r="J73" i="46"/>
  <c r="I73" i="46"/>
  <c r="H73" i="46"/>
  <c r="G73" i="46"/>
  <c r="G56" i="46" s="1"/>
  <c r="F73" i="46"/>
  <c r="K72" i="46"/>
  <c r="J72" i="46"/>
  <c r="J55" i="46" s="1"/>
  <c r="I72" i="46"/>
  <c r="H72" i="46"/>
  <c r="G72" i="46"/>
  <c r="F72" i="46"/>
  <c r="F54" i="46" s="1"/>
  <c r="K71" i="46"/>
  <c r="J71" i="46"/>
  <c r="I71" i="46"/>
  <c r="H71" i="46"/>
  <c r="G71" i="46"/>
  <c r="F71" i="46"/>
  <c r="K70" i="46"/>
  <c r="J70" i="46"/>
  <c r="J52" i="46" s="1"/>
  <c r="I70" i="46"/>
  <c r="H70" i="46"/>
  <c r="H52" i="46" s="1"/>
  <c r="G70" i="46"/>
  <c r="F70" i="46"/>
  <c r="F52" i="46" s="1"/>
  <c r="K69" i="46"/>
  <c r="K61" i="46" s="1"/>
  <c r="J69" i="46"/>
  <c r="I69" i="46"/>
  <c r="I61" i="46" s="1"/>
  <c r="H69" i="46"/>
  <c r="G69" i="46"/>
  <c r="G61" i="46" s="1"/>
  <c r="F69" i="46"/>
  <c r="K68" i="46"/>
  <c r="J68" i="46"/>
  <c r="I68" i="46"/>
  <c r="I58" i="46" s="1"/>
  <c r="H68" i="46"/>
  <c r="H58" i="46" s="1"/>
  <c r="G68" i="46"/>
  <c r="F68" i="46"/>
  <c r="F58" i="46" s="1"/>
  <c r="K67" i="46"/>
  <c r="J67" i="46"/>
  <c r="I67" i="46"/>
  <c r="H67" i="46"/>
  <c r="G67" i="46"/>
  <c r="F67" i="46"/>
  <c r="K66" i="46"/>
  <c r="K62" i="46" s="1"/>
  <c r="J66" i="46"/>
  <c r="J62" i="46" s="1"/>
  <c r="I66" i="46"/>
  <c r="I62" i="46" s="1"/>
  <c r="H66" i="46"/>
  <c r="H62" i="46" s="1"/>
  <c r="G66" i="46"/>
  <c r="G53" i="46" s="1"/>
  <c r="F66" i="46"/>
  <c r="F53" i="46" s="1"/>
  <c r="K65" i="46"/>
  <c r="K60" i="46" s="1"/>
  <c r="J65" i="46"/>
  <c r="I65" i="46"/>
  <c r="I60" i="46" s="1"/>
  <c r="H65" i="46"/>
  <c r="G65" i="46"/>
  <c r="G60" i="46" s="1"/>
  <c r="F65" i="46"/>
  <c r="J63" i="46"/>
  <c r="I63" i="46"/>
  <c r="J61" i="46"/>
  <c r="H61" i="46"/>
  <c r="F61" i="46"/>
  <c r="J60" i="46"/>
  <c r="H60" i="46"/>
  <c r="F60" i="46"/>
  <c r="I59" i="46"/>
  <c r="J56" i="46"/>
  <c r="I56" i="46"/>
  <c r="H56" i="46"/>
  <c r="F56" i="46"/>
  <c r="I55" i="46"/>
  <c r="H55" i="46"/>
  <c r="G55" i="46"/>
  <c r="F55" i="46"/>
  <c r="I53" i="46"/>
  <c r="K48" i="46"/>
  <c r="J48" i="46"/>
  <c r="I48" i="46"/>
  <c r="H48" i="46"/>
  <c r="G48" i="46"/>
  <c r="F48" i="46"/>
  <c r="K47" i="46"/>
  <c r="K41" i="46" s="1"/>
  <c r="J47" i="46"/>
  <c r="J41" i="46" s="1"/>
  <c r="I47" i="46"/>
  <c r="I41" i="46" s="1"/>
  <c r="H47" i="46"/>
  <c r="G47" i="46"/>
  <c r="G41" i="46" s="1"/>
  <c r="F47" i="46"/>
  <c r="K46" i="46"/>
  <c r="J46" i="46"/>
  <c r="I46" i="46"/>
  <c r="H46" i="46"/>
  <c r="G46" i="46"/>
  <c r="F46" i="46"/>
  <c r="K45" i="46"/>
  <c r="K39" i="46" s="1"/>
  <c r="J45" i="46"/>
  <c r="I45" i="46"/>
  <c r="H45" i="46"/>
  <c r="G45" i="46"/>
  <c r="F45" i="46"/>
  <c r="K44" i="46"/>
  <c r="J44" i="46"/>
  <c r="I44" i="46"/>
  <c r="H44" i="46"/>
  <c r="G44" i="46"/>
  <c r="F44" i="46"/>
  <c r="K43" i="46"/>
  <c r="K38" i="46" s="1"/>
  <c r="J43" i="46"/>
  <c r="J38" i="46" s="1"/>
  <c r="I43" i="46"/>
  <c r="I38" i="46" s="1"/>
  <c r="H43" i="46"/>
  <c r="H37" i="46" s="1"/>
  <c r="G43" i="46"/>
  <c r="G38" i="46" s="1"/>
  <c r="F43" i="46"/>
  <c r="F38" i="46" s="1"/>
  <c r="K33" i="46"/>
  <c r="J33" i="46"/>
  <c r="I33" i="46"/>
  <c r="H33" i="46"/>
  <c r="G33" i="46"/>
  <c r="F33" i="46"/>
  <c r="K32" i="46"/>
  <c r="J32" i="46"/>
  <c r="I32" i="46"/>
  <c r="H32" i="46"/>
  <c r="G32" i="46"/>
  <c r="F32" i="46"/>
  <c r="K31" i="46"/>
  <c r="J31" i="46"/>
  <c r="I31" i="46"/>
  <c r="H31" i="46"/>
  <c r="G31" i="46"/>
  <c r="F31" i="46"/>
  <c r="K30" i="46"/>
  <c r="K21" i="46" s="1"/>
  <c r="J30" i="46"/>
  <c r="I30" i="46"/>
  <c r="H30" i="46"/>
  <c r="G30" i="46"/>
  <c r="F30" i="46"/>
  <c r="K29" i="46"/>
  <c r="J29" i="46"/>
  <c r="I29" i="46"/>
  <c r="H29" i="46"/>
  <c r="G29" i="46"/>
  <c r="G20" i="46" s="1"/>
  <c r="F29" i="46"/>
  <c r="F20" i="46" s="1"/>
  <c r="K28" i="46"/>
  <c r="K19" i="46" s="1"/>
  <c r="J28" i="46"/>
  <c r="I28" i="46"/>
  <c r="H28" i="46"/>
  <c r="G28" i="46"/>
  <c r="F28" i="46"/>
  <c r="K27" i="46"/>
  <c r="J27" i="46"/>
  <c r="I27" i="46"/>
  <c r="H27" i="46"/>
  <c r="G27" i="46"/>
  <c r="F27" i="46"/>
  <c r="K15" i="46"/>
  <c r="J15" i="46"/>
  <c r="I15" i="46"/>
  <c r="H15" i="46"/>
  <c r="G15" i="46"/>
  <c r="F15" i="46"/>
  <c r="K14" i="46"/>
  <c r="J14" i="46"/>
  <c r="I14" i="46"/>
  <c r="H14" i="46"/>
  <c r="G14" i="46"/>
  <c r="G7" i="46" s="1"/>
  <c r="F14" i="46"/>
  <c r="K13" i="46"/>
  <c r="J13" i="46"/>
  <c r="I13" i="46"/>
  <c r="H13" i="46"/>
  <c r="G13" i="46"/>
  <c r="F13" i="46"/>
  <c r="K12" i="46"/>
  <c r="J12" i="46"/>
  <c r="I12" i="46"/>
  <c r="H12" i="46"/>
  <c r="G12" i="46"/>
  <c r="F12" i="46"/>
  <c r="K11" i="46"/>
  <c r="J11" i="46"/>
  <c r="I11" i="46"/>
  <c r="I7" i="46" s="1"/>
  <c r="H11" i="46"/>
  <c r="G11" i="46"/>
  <c r="F11" i="46"/>
  <c r="K10" i="46"/>
  <c r="J10" i="46"/>
  <c r="I10" i="46"/>
  <c r="H10" i="46"/>
  <c r="G10" i="46"/>
  <c r="G4" i="46" s="1"/>
  <c r="F10" i="46"/>
  <c r="K9" i="46"/>
  <c r="J9" i="46"/>
  <c r="J4" i="46" s="1"/>
  <c r="I9" i="46"/>
  <c r="H9" i="46"/>
  <c r="G9" i="46"/>
  <c r="F9" i="46"/>
  <c r="K81" i="45"/>
  <c r="J81" i="45"/>
  <c r="I81" i="45"/>
  <c r="H81" i="45"/>
  <c r="G81" i="45"/>
  <c r="F81" i="45"/>
  <c r="K80" i="45"/>
  <c r="J80" i="45"/>
  <c r="I80" i="45"/>
  <c r="H80" i="45"/>
  <c r="G80" i="45"/>
  <c r="F80" i="45"/>
  <c r="K79" i="45"/>
  <c r="J79" i="45"/>
  <c r="I79" i="45"/>
  <c r="H79" i="45"/>
  <c r="G79" i="45"/>
  <c r="F79" i="45"/>
  <c r="K78" i="45"/>
  <c r="J78" i="45"/>
  <c r="I78" i="45"/>
  <c r="H78" i="45"/>
  <c r="G78" i="45"/>
  <c r="F78" i="45"/>
  <c r="K77" i="45"/>
  <c r="J77" i="45"/>
  <c r="I77" i="45"/>
  <c r="H77" i="45"/>
  <c r="G77" i="45"/>
  <c r="F77" i="45"/>
  <c r="K76" i="45"/>
  <c r="J76" i="45"/>
  <c r="I76" i="45"/>
  <c r="H76" i="45"/>
  <c r="G76" i="45"/>
  <c r="F76" i="45"/>
  <c r="K75" i="45"/>
  <c r="J75" i="45"/>
  <c r="I75" i="45"/>
  <c r="H75" i="45"/>
  <c r="G75" i="45"/>
  <c r="F75" i="45"/>
  <c r="K74" i="45"/>
  <c r="J74" i="45"/>
  <c r="I74" i="45"/>
  <c r="I57" i="45" s="1"/>
  <c r="H74" i="45"/>
  <c r="G74" i="45"/>
  <c r="G57" i="45" s="1"/>
  <c r="F74" i="45"/>
  <c r="F57" i="45" s="1"/>
  <c r="K73" i="45"/>
  <c r="J73" i="45"/>
  <c r="I73" i="45"/>
  <c r="I56" i="45" s="1"/>
  <c r="H73" i="45"/>
  <c r="H56" i="45" s="1"/>
  <c r="G73" i="45"/>
  <c r="G56" i="45" s="1"/>
  <c r="F73" i="45"/>
  <c r="F56" i="45" s="1"/>
  <c r="K72" i="45"/>
  <c r="K55" i="45" s="1"/>
  <c r="J72" i="45"/>
  <c r="I72" i="45"/>
  <c r="H72" i="45"/>
  <c r="G72" i="45"/>
  <c r="F72" i="45"/>
  <c r="F55" i="45" s="1"/>
  <c r="K71" i="45"/>
  <c r="J71" i="45"/>
  <c r="I71" i="45"/>
  <c r="H71" i="45"/>
  <c r="G71" i="45"/>
  <c r="F71" i="45"/>
  <c r="K70" i="45"/>
  <c r="K52" i="45" s="1"/>
  <c r="J70" i="45"/>
  <c r="J59" i="45" s="1"/>
  <c r="I70" i="45"/>
  <c r="H70" i="45"/>
  <c r="G70" i="45"/>
  <c r="F70" i="45"/>
  <c r="K69" i="45"/>
  <c r="J69" i="45"/>
  <c r="J61" i="45" s="1"/>
  <c r="I69" i="45"/>
  <c r="I61" i="45" s="1"/>
  <c r="H69" i="45"/>
  <c r="H59" i="45" s="1"/>
  <c r="G69" i="45"/>
  <c r="G61" i="45" s="1"/>
  <c r="F69" i="45"/>
  <c r="F61" i="45" s="1"/>
  <c r="K68" i="45"/>
  <c r="J68" i="45"/>
  <c r="J58" i="45" s="1"/>
  <c r="I68" i="45"/>
  <c r="H68" i="45"/>
  <c r="G68" i="45"/>
  <c r="F68" i="45"/>
  <c r="K67" i="45"/>
  <c r="J67" i="45"/>
  <c r="I67" i="45"/>
  <c r="H67" i="45"/>
  <c r="H54" i="45" s="1"/>
  <c r="G67" i="45"/>
  <c r="F67" i="45"/>
  <c r="K66" i="45"/>
  <c r="K62" i="45" s="1"/>
  <c r="J66" i="45"/>
  <c r="J53" i="45" s="1"/>
  <c r="I66" i="45"/>
  <c r="I62" i="45" s="1"/>
  <c r="H66" i="45"/>
  <c r="H62" i="45" s="1"/>
  <c r="G66" i="45"/>
  <c r="G62" i="45" s="1"/>
  <c r="F66" i="45"/>
  <c r="F53" i="45" s="1"/>
  <c r="K65" i="45"/>
  <c r="J65" i="45"/>
  <c r="I65" i="45"/>
  <c r="I60" i="45" s="1"/>
  <c r="H65" i="45"/>
  <c r="H60" i="45" s="1"/>
  <c r="G65" i="45"/>
  <c r="G60" i="45" s="1"/>
  <c r="F65" i="45"/>
  <c r="F63" i="45" s="1"/>
  <c r="K63" i="45"/>
  <c r="K61" i="45"/>
  <c r="K60" i="45"/>
  <c r="J60" i="45"/>
  <c r="K59" i="45"/>
  <c r="K58" i="45"/>
  <c r="K57" i="45"/>
  <c r="J57" i="45"/>
  <c r="H57" i="45"/>
  <c r="K56" i="45"/>
  <c r="J56" i="45"/>
  <c r="I55" i="45"/>
  <c r="H55" i="45"/>
  <c r="G55" i="45"/>
  <c r="K54" i="45"/>
  <c r="K53" i="45"/>
  <c r="H53" i="45"/>
  <c r="K48" i="45"/>
  <c r="J48" i="45"/>
  <c r="I48" i="45"/>
  <c r="H48" i="45"/>
  <c r="G48" i="45"/>
  <c r="F48" i="45"/>
  <c r="K47" i="45"/>
  <c r="J47" i="45"/>
  <c r="J41" i="45" s="1"/>
  <c r="I47" i="45"/>
  <c r="I41" i="45" s="1"/>
  <c r="H47" i="45"/>
  <c r="G47" i="45"/>
  <c r="F47" i="45"/>
  <c r="F41" i="45" s="1"/>
  <c r="K46" i="45"/>
  <c r="J46" i="45"/>
  <c r="I46" i="45"/>
  <c r="H46" i="45"/>
  <c r="G46" i="45"/>
  <c r="F46" i="45"/>
  <c r="K45" i="45"/>
  <c r="J45" i="45"/>
  <c r="J39" i="45" s="1"/>
  <c r="I45" i="45"/>
  <c r="I39" i="45" s="1"/>
  <c r="H45" i="45"/>
  <c r="G45" i="45"/>
  <c r="F45" i="45"/>
  <c r="K44" i="45"/>
  <c r="J44" i="45"/>
  <c r="J40" i="45" s="1"/>
  <c r="I44" i="45"/>
  <c r="H44" i="45"/>
  <c r="G44" i="45"/>
  <c r="F44" i="45"/>
  <c r="K43" i="45"/>
  <c r="J43" i="45"/>
  <c r="J37" i="45" s="1"/>
  <c r="I43" i="45"/>
  <c r="H43" i="45"/>
  <c r="H38" i="45" s="1"/>
  <c r="G43" i="45"/>
  <c r="G38" i="45" s="1"/>
  <c r="F43" i="45"/>
  <c r="F38" i="45" s="1"/>
  <c r="K41" i="45"/>
  <c r="K40" i="45"/>
  <c r="K39" i="45"/>
  <c r="K38" i="45"/>
  <c r="K33" i="45"/>
  <c r="J33" i="45"/>
  <c r="I33" i="45"/>
  <c r="H33" i="45"/>
  <c r="G33" i="45"/>
  <c r="F33" i="45"/>
  <c r="K32" i="45"/>
  <c r="J32" i="45"/>
  <c r="I32" i="45"/>
  <c r="H32" i="45"/>
  <c r="G32" i="45"/>
  <c r="F32" i="45"/>
  <c r="K31" i="45"/>
  <c r="J31" i="45"/>
  <c r="I31" i="45"/>
  <c r="H31" i="45"/>
  <c r="G31" i="45"/>
  <c r="F31" i="45"/>
  <c r="K30" i="45"/>
  <c r="J30" i="45"/>
  <c r="I30" i="45"/>
  <c r="H30" i="45"/>
  <c r="G30" i="45"/>
  <c r="F30" i="45"/>
  <c r="K29" i="45"/>
  <c r="J29" i="45"/>
  <c r="I29" i="45"/>
  <c r="I20" i="45" s="1"/>
  <c r="H29" i="45"/>
  <c r="G29" i="45"/>
  <c r="F29" i="45"/>
  <c r="K28" i="45"/>
  <c r="K19" i="45" s="1"/>
  <c r="J28" i="45"/>
  <c r="J19" i="45" s="1"/>
  <c r="I28" i="45"/>
  <c r="H28" i="45"/>
  <c r="G28" i="45"/>
  <c r="F28" i="45"/>
  <c r="K27" i="45"/>
  <c r="J27" i="45"/>
  <c r="I27" i="45"/>
  <c r="H27" i="45"/>
  <c r="G27" i="45"/>
  <c r="F27" i="45"/>
  <c r="K15" i="45"/>
  <c r="J15" i="45"/>
  <c r="I15" i="45"/>
  <c r="H15" i="45"/>
  <c r="G15" i="45"/>
  <c r="F15" i="45"/>
  <c r="K14" i="45"/>
  <c r="J14" i="45"/>
  <c r="I14" i="45"/>
  <c r="I7" i="45" s="1"/>
  <c r="H14" i="45"/>
  <c r="G14" i="45"/>
  <c r="G5" i="45" s="1"/>
  <c r="F14" i="45"/>
  <c r="K13" i="45"/>
  <c r="J13" i="45"/>
  <c r="I13" i="45"/>
  <c r="H13" i="45"/>
  <c r="G13" i="45"/>
  <c r="F13" i="45"/>
  <c r="K12" i="45"/>
  <c r="J12" i="45"/>
  <c r="I12" i="45"/>
  <c r="H12" i="45"/>
  <c r="G12" i="45"/>
  <c r="F12" i="45"/>
  <c r="K11" i="45"/>
  <c r="J11" i="45"/>
  <c r="J7" i="45" s="1"/>
  <c r="I11" i="45"/>
  <c r="H11" i="45"/>
  <c r="G11" i="45"/>
  <c r="G7" i="45" s="1"/>
  <c r="F11" i="45"/>
  <c r="K10" i="45"/>
  <c r="J10" i="45"/>
  <c r="I10" i="45"/>
  <c r="I4" i="45" s="1"/>
  <c r="H10" i="45"/>
  <c r="G10" i="45"/>
  <c r="G4" i="45" s="1"/>
  <c r="F10" i="45"/>
  <c r="K9" i="45"/>
  <c r="J9" i="45"/>
  <c r="J5" i="45" s="1"/>
  <c r="I9" i="45"/>
  <c r="H9" i="45"/>
  <c r="G9" i="45"/>
  <c r="F9" i="45"/>
  <c r="K81" i="41"/>
  <c r="J81" i="41"/>
  <c r="I81" i="41"/>
  <c r="H81" i="41"/>
  <c r="G81" i="41"/>
  <c r="F81" i="41"/>
  <c r="K80" i="41"/>
  <c r="J80" i="41"/>
  <c r="I80" i="41"/>
  <c r="H80" i="41"/>
  <c r="G80" i="41"/>
  <c r="F80" i="41"/>
  <c r="K79" i="41"/>
  <c r="J79" i="41"/>
  <c r="I79" i="41"/>
  <c r="H79" i="41"/>
  <c r="G79" i="41"/>
  <c r="F79" i="41"/>
  <c r="K78" i="41"/>
  <c r="J78" i="41"/>
  <c r="I78" i="41"/>
  <c r="H78" i="41"/>
  <c r="G78" i="41"/>
  <c r="F78" i="41"/>
  <c r="K77" i="41"/>
  <c r="J77" i="41"/>
  <c r="I77" i="41"/>
  <c r="H77" i="41"/>
  <c r="G77" i="41"/>
  <c r="F77" i="41"/>
  <c r="K76" i="41"/>
  <c r="J76" i="41"/>
  <c r="I76" i="41"/>
  <c r="H76" i="41"/>
  <c r="G76" i="41"/>
  <c r="F76" i="41"/>
  <c r="K75" i="41"/>
  <c r="J75" i="41"/>
  <c r="I75" i="41"/>
  <c r="H75" i="41"/>
  <c r="G75" i="41"/>
  <c r="F75" i="41"/>
  <c r="K74" i="41"/>
  <c r="J74" i="41"/>
  <c r="I74" i="41"/>
  <c r="H74" i="41"/>
  <c r="G74" i="41"/>
  <c r="F74" i="41"/>
  <c r="K73" i="41"/>
  <c r="J73" i="41"/>
  <c r="I73" i="41"/>
  <c r="H73" i="41"/>
  <c r="G73" i="41"/>
  <c r="F73" i="41"/>
  <c r="K72" i="41"/>
  <c r="J72" i="41"/>
  <c r="I72" i="41"/>
  <c r="H72" i="41"/>
  <c r="G72" i="41"/>
  <c r="G55" i="41" s="1"/>
  <c r="F72" i="41"/>
  <c r="F55" i="41" s="1"/>
  <c r="K71" i="41"/>
  <c r="J71" i="41"/>
  <c r="I71" i="41"/>
  <c r="H71" i="41"/>
  <c r="G71" i="41"/>
  <c r="F71" i="41"/>
  <c r="K70" i="41"/>
  <c r="J70" i="41"/>
  <c r="I70" i="41"/>
  <c r="H70" i="41"/>
  <c r="G70" i="41"/>
  <c r="G52" i="41" s="1"/>
  <c r="F70" i="41"/>
  <c r="K69" i="41"/>
  <c r="K61" i="41" s="1"/>
  <c r="J69" i="41"/>
  <c r="J61" i="41" s="1"/>
  <c r="I69" i="41"/>
  <c r="H69" i="41"/>
  <c r="G69" i="41"/>
  <c r="F69" i="41"/>
  <c r="F61" i="41" s="1"/>
  <c r="K68" i="41"/>
  <c r="J68" i="41"/>
  <c r="I68" i="41"/>
  <c r="I58" i="41" s="1"/>
  <c r="H68" i="41"/>
  <c r="G68" i="41"/>
  <c r="F68" i="41"/>
  <c r="K67" i="41"/>
  <c r="K54" i="41" s="1"/>
  <c r="J67" i="41"/>
  <c r="J54" i="41" s="1"/>
  <c r="I67" i="41"/>
  <c r="H67" i="41"/>
  <c r="G67" i="41"/>
  <c r="F67" i="41"/>
  <c r="K66" i="41"/>
  <c r="K62" i="41" s="1"/>
  <c r="J66" i="41"/>
  <c r="J62" i="41" s="1"/>
  <c r="I66" i="41"/>
  <c r="I62" i="41" s="1"/>
  <c r="H66" i="41"/>
  <c r="H62" i="41" s="1"/>
  <c r="G66" i="41"/>
  <c r="F66" i="41"/>
  <c r="F53" i="41" s="1"/>
  <c r="K65" i="41"/>
  <c r="K52" i="41" s="1"/>
  <c r="J65" i="41"/>
  <c r="J60" i="41" s="1"/>
  <c r="I65" i="41"/>
  <c r="H65" i="41"/>
  <c r="H63" i="41" s="1"/>
  <c r="G65" i="41"/>
  <c r="F65" i="41"/>
  <c r="F60" i="41" s="1"/>
  <c r="I63" i="41"/>
  <c r="I61" i="41"/>
  <c r="H61" i="41"/>
  <c r="G61" i="41"/>
  <c r="K60" i="41"/>
  <c r="I60" i="41"/>
  <c r="G60" i="41"/>
  <c r="I59" i="41"/>
  <c r="H59" i="41"/>
  <c r="K55" i="41"/>
  <c r="J55" i="41"/>
  <c r="I55" i="41"/>
  <c r="H55" i="41"/>
  <c r="J53" i="41"/>
  <c r="I53" i="41"/>
  <c r="H53" i="41"/>
  <c r="K48" i="41"/>
  <c r="J48" i="41"/>
  <c r="I48" i="41"/>
  <c r="H48" i="41"/>
  <c r="G48" i="41"/>
  <c r="F48" i="41"/>
  <c r="K47" i="41"/>
  <c r="K41" i="41" s="1"/>
  <c r="J47" i="41"/>
  <c r="J41" i="41" s="1"/>
  <c r="I47" i="41"/>
  <c r="I41" i="41" s="1"/>
  <c r="H47" i="41"/>
  <c r="H41" i="41" s="1"/>
  <c r="G47" i="41"/>
  <c r="F47" i="41"/>
  <c r="K46" i="41"/>
  <c r="J46" i="41"/>
  <c r="I46" i="41"/>
  <c r="H46" i="41"/>
  <c r="G46" i="41"/>
  <c r="F46" i="41"/>
  <c r="K45" i="41"/>
  <c r="J45" i="41"/>
  <c r="I45" i="41"/>
  <c r="H45" i="41"/>
  <c r="H39" i="41" s="1"/>
  <c r="G45" i="41"/>
  <c r="G39" i="41" s="1"/>
  <c r="F45" i="41"/>
  <c r="K44" i="41"/>
  <c r="J44" i="41"/>
  <c r="I44" i="41"/>
  <c r="H44" i="41"/>
  <c r="G44" i="41"/>
  <c r="F44" i="41"/>
  <c r="K43" i="41"/>
  <c r="J43" i="41"/>
  <c r="J37" i="41" s="1"/>
  <c r="I43" i="41"/>
  <c r="I38" i="41" s="1"/>
  <c r="H43" i="41"/>
  <c r="H38" i="41" s="1"/>
  <c r="G43" i="41"/>
  <c r="G38" i="41" s="1"/>
  <c r="F43" i="41"/>
  <c r="F38" i="41" s="1"/>
  <c r="F41" i="41"/>
  <c r="K40" i="41"/>
  <c r="J40" i="41"/>
  <c r="K39" i="41"/>
  <c r="J39" i="41"/>
  <c r="K38" i="41"/>
  <c r="K37" i="41"/>
  <c r="K33" i="41"/>
  <c r="J33" i="41"/>
  <c r="I33" i="41"/>
  <c r="H33" i="41"/>
  <c r="G33" i="41"/>
  <c r="F33" i="41"/>
  <c r="K32" i="41"/>
  <c r="J32" i="41"/>
  <c r="I32" i="41"/>
  <c r="H32" i="41"/>
  <c r="G32" i="41"/>
  <c r="F32" i="41"/>
  <c r="K31" i="41"/>
  <c r="J31" i="41"/>
  <c r="I31" i="41"/>
  <c r="H31" i="41"/>
  <c r="G31" i="41"/>
  <c r="F31" i="41"/>
  <c r="K30" i="41"/>
  <c r="K21" i="41" s="1"/>
  <c r="J30" i="41"/>
  <c r="J21" i="41" s="1"/>
  <c r="I30" i="41"/>
  <c r="I21" i="41" s="1"/>
  <c r="H30" i="41"/>
  <c r="H21" i="41" s="1"/>
  <c r="G30" i="41"/>
  <c r="F30" i="41"/>
  <c r="K29" i="41"/>
  <c r="J29" i="41"/>
  <c r="I29" i="41"/>
  <c r="H29" i="41"/>
  <c r="G29" i="41"/>
  <c r="F29" i="41"/>
  <c r="K28" i="41"/>
  <c r="K19" i="41" s="1"/>
  <c r="J28" i="41"/>
  <c r="J19" i="41" s="1"/>
  <c r="I28" i="41"/>
  <c r="I19" i="41" s="1"/>
  <c r="H28" i="41"/>
  <c r="H19" i="41" s="1"/>
  <c r="G28" i="41"/>
  <c r="G19" i="41" s="1"/>
  <c r="F28" i="41"/>
  <c r="F19" i="41" s="1"/>
  <c r="K27" i="41"/>
  <c r="J27" i="41"/>
  <c r="I27" i="41"/>
  <c r="H27" i="41"/>
  <c r="G27" i="41"/>
  <c r="F27" i="41"/>
  <c r="K15" i="41"/>
  <c r="J15" i="41"/>
  <c r="I15" i="41"/>
  <c r="H15" i="41"/>
  <c r="G15" i="41"/>
  <c r="F15" i="41"/>
  <c r="K14" i="41"/>
  <c r="J14" i="41"/>
  <c r="I14" i="41"/>
  <c r="H14" i="41"/>
  <c r="G14" i="41"/>
  <c r="F14" i="41"/>
  <c r="K13" i="41"/>
  <c r="J13" i="41"/>
  <c r="I13" i="41"/>
  <c r="H13" i="41"/>
  <c r="G13" i="41"/>
  <c r="F13" i="41"/>
  <c r="K12" i="41"/>
  <c r="J12" i="41"/>
  <c r="I12" i="41"/>
  <c r="H12" i="41"/>
  <c r="G12" i="41"/>
  <c r="F12" i="41"/>
  <c r="K11" i="41"/>
  <c r="K7" i="41" s="1"/>
  <c r="J11" i="41"/>
  <c r="J7" i="41" s="1"/>
  <c r="I11" i="41"/>
  <c r="I7" i="41" s="1"/>
  <c r="H11" i="41"/>
  <c r="H7" i="41" s="1"/>
  <c r="G11" i="41"/>
  <c r="F11" i="41"/>
  <c r="K10" i="41"/>
  <c r="J10" i="41"/>
  <c r="I10" i="41"/>
  <c r="H10" i="41"/>
  <c r="G10" i="41"/>
  <c r="F10" i="41"/>
  <c r="K9" i="41"/>
  <c r="K5" i="41" s="1"/>
  <c r="J9" i="41"/>
  <c r="J5" i="41" s="1"/>
  <c r="I9" i="41"/>
  <c r="I5" i="41" s="1"/>
  <c r="H9" i="41"/>
  <c r="G9" i="41"/>
  <c r="F9" i="41"/>
  <c r="F7" i="41"/>
  <c r="K4" i="41"/>
  <c r="K81" i="40"/>
  <c r="J81" i="40"/>
  <c r="I81" i="40"/>
  <c r="H81" i="40"/>
  <c r="G81" i="40"/>
  <c r="F81" i="40"/>
  <c r="K80" i="40"/>
  <c r="J80" i="40"/>
  <c r="I80" i="40"/>
  <c r="H80" i="40"/>
  <c r="G80" i="40"/>
  <c r="G63" i="40" s="1"/>
  <c r="F80" i="40"/>
  <c r="K79" i="40"/>
  <c r="J79" i="40"/>
  <c r="I79" i="40"/>
  <c r="H79" i="40"/>
  <c r="G79" i="40"/>
  <c r="F79" i="40"/>
  <c r="K78" i="40"/>
  <c r="J78" i="40"/>
  <c r="I78" i="40"/>
  <c r="H78" i="40"/>
  <c r="G78" i="40"/>
  <c r="F78" i="40"/>
  <c r="K77" i="40"/>
  <c r="J77" i="40"/>
  <c r="I77" i="40"/>
  <c r="H77" i="40"/>
  <c r="G77" i="40"/>
  <c r="F77" i="40"/>
  <c r="K76" i="40"/>
  <c r="J76" i="40"/>
  <c r="I76" i="40"/>
  <c r="H76" i="40"/>
  <c r="G76" i="40"/>
  <c r="F76" i="40"/>
  <c r="K75" i="40"/>
  <c r="J75" i="40"/>
  <c r="I75" i="40"/>
  <c r="H75" i="40"/>
  <c r="G75" i="40"/>
  <c r="F75" i="40"/>
  <c r="K74" i="40"/>
  <c r="J74" i="40"/>
  <c r="I74" i="40"/>
  <c r="H74" i="40"/>
  <c r="H57" i="40" s="1"/>
  <c r="G74" i="40"/>
  <c r="F74" i="40"/>
  <c r="K73" i="40"/>
  <c r="J73" i="40"/>
  <c r="I73" i="40"/>
  <c r="H73" i="40"/>
  <c r="G73" i="40"/>
  <c r="F73" i="40"/>
  <c r="K72" i="40"/>
  <c r="K55" i="40" s="1"/>
  <c r="J72" i="40"/>
  <c r="I72" i="40"/>
  <c r="H72" i="40"/>
  <c r="H55" i="40" s="1"/>
  <c r="G72" i="40"/>
  <c r="F72" i="40"/>
  <c r="K71" i="40"/>
  <c r="J71" i="40"/>
  <c r="I71" i="40"/>
  <c r="H71" i="40"/>
  <c r="G71" i="40"/>
  <c r="F71" i="40"/>
  <c r="K70" i="40"/>
  <c r="K59" i="40" s="1"/>
  <c r="J70" i="40"/>
  <c r="I70" i="40"/>
  <c r="H70" i="40"/>
  <c r="G70" i="40"/>
  <c r="G52" i="40" s="1"/>
  <c r="F70" i="40"/>
  <c r="K69" i="40"/>
  <c r="J69" i="40"/>
  <c r="I69" i="40"/>
  <c r="I59" i="40" s="1"/>
  <c r="H69" i="40"/>
  <c r="G69" i="40"/>
  <c r="F69" i="40"/>
  <c r="F61" i="40" s="1"/>
  <c r="K68" i="40"/>
  <c r="J68" i="40"/>
  <c r="I68" i="40"/>
  <c r="H68" i="40"/>
  <c r="G68" i="40"/>
  <c r="F68" i="40"/>
  <c r="K67" i="40"/>
  <c r="J67" i="40"/>
  <c r="J54" i="40" s="1"/>
  <c r="I67" i="40"/>
  <c r="H67" i="40"/>
  <c r="G67" i="40"/>
  <c r="F67" i="40"/>
  <c r="K66" i="40"/>
  <c r="K62" i="40" s="1"/>
  <c r="J66" i="40"/>
  <c r="J62" i="40" s="1"/>
  <c r="I66" i="40"/>
  <c r="I62" i="40" s="1"/>
  <c r="H66" i="40"/>
  <c r="H62" i="40" s="1"/>
  <c r="G66" i="40"/>
  <c r="G62" i="40" s="1"/>
  <c r="F66" i="40"/>
  <c r="F53" i="40" s="1"/>
  <c r="K65" i="40"/>
  <c r="J65" i="40"/>
  <c r="J63" i="40" s="1"/>
  <c r="I65" i="40"/>
  <c r="I60" i="40" s="1"/>
  <c r="H65" i="40"/>
  <c r="G65" i="40"/>
  <c r="F65" i="40"/>
  <c r="F60" i="40" s="1"/>
  <c r="I63" i="40"/>
  <c r="K61" i="40"/>
  <c r="J61" i="40"/>
  <c r="G61" i="40"/>
  <c r="H60" i="40"/>
  <c r="G60" i="40"/>
  <c r="J57" i="40"/>
  <c r="I57" i="40"/>
  <c r="K56" i="40"/>
  <c r="J56" i="40"/>
  <c r="J55" i="40"/>
  <c r="I55" i="40"/>
  <c r="F55" i="40"/>
  <c r="J53" i="40"/>
  <c r="I53" i="40"/>
  <c r="K48" i="40"/>
  <c r="J48" i="40"/>
  <c r="I48" i="40"/>
  <c r="H48" i="40"/>
  <c r="G48" i="40"/>
  <c r="F48" i="40"/>
  <c r="K47" i="40"/>
  <c r="K41" i="40" s="1"/>
  <c r="J47" i="40"/>
  <c r="I47" i="40"/>
  <c r="I41" i="40" s="1"/>
  <c r="H47" i="40"/>
  <c r="H41" i="40" s="1"/>
  <c r="G47" i="40"/>
  <c r="G41" i="40" s="1"/>
  <c r="F47" i="40"/>
  <c r="K46" i="40"/>
  <c r="J46" i="40"/>
  <c r="I46" i="40"/>
  <c r="H46" i="40"/>
  <c r="G46" i="40"/>
  <c r="F46" i="40"/>
  <c r="K45" i="40"/>
  <c r="K39" i="40" s="1"/>
  <c r="J45" i="40"/>
  <c r="I45" i="40"/>
  <c r="H45" i="40"/>
  <c r="G45" i="40"/>
  <c r="F45" i="40"/>
  <c r="K44" i="40"/>
  <c r="J44" i="40"/>
  <c r="I44" i="40"/>
  <c r="H44" i="40"/>
  <c r="G44" i="40"/>
  <c r="F44" i="40"/>
  <c r="F39" i="40" s="1"/>
  <c r="K43" i="40"/>
  <c r="K37" i="40" s="1"/>
  <c r="J43" i="40"/>
  <c r="I43" i="40"/>
  <c r="I37" i="40" s="1"/>
  <c r="H43" i="40"/>
  <c r="H38" i="40" s="1"/>
  <c r="G43" i="40"/>
  <c r="G38" i="40" s="1"/>
  <c r="F43" i="40"/>
  <c r="F38" i="40"/>
  <c r="K33" i="40"/>
  <c r="J33" i="40"/>
  <c r="I33" i="40"/>
  <c r="H33" i="40"/>
  <c r="G33" i="40"/>
  <c r="F33" i="40"/>
  <c r="K32" i="40"/>
  <c r="J32" i="40"/>
  <c r="I32" i="40"/>
  <c r="H32" i="40"/>
  <c r="G32" i="40"/>
  <c r="F32" i="40"/>
  <c r="K31" i="40"/>
  <c r="J31" i="40"/>
  <c r="I31" i="40"/>
  <c r="H31" i="40"/>
  <c r="G31" i="40"/>
  <c r="F31" i="40"/>
  <c r="K30" i="40"/>
  <c r="K21" i="40" s="1"/>
  <c r="J30" i="40"/>
  <c r="J21" i="40" s="1"/>
  <c r="I30" i="40"/>
  <c r="I21" i="40" s="1"/>
  <c r="H30" i="40"/>
  <c r="G30" i="40"/>
  <c r="F30" i="40"/>
  <c r="F21" i="40" s="1"/>
  <c r="K29" i="40"/>
  <c r="J29" i="40"/>
  <c r="I29" i="40"/>
  <c r="H29" i="40"/>
  <c r="G29" i="40"/>
  <c r="F29" i="40"/>
  <c r="K28" i="40"/>
  <c r="K19" i="40" s="1"/>
  <c r="J28" i="40"/>
  <c r="J19" i="40" s="1"/>
  <c r="I28" i="40"/>
  <c r="I19" i="40" s="1"/>
  <c r="H28" i="40"/>
  <c r="G28" i="40"/>
  <c r="F28" i="40"/>
  <c r="F19" i="40" s="1"/>
  <c r="K27" i="40"/>
  <c r="J27" i="40"/>
  <c r="I27" i="40"/>
  <c r="H27" i="40"/>
  <c r="G27" i="40"/>
  <c r="F27" i="40"/>
  <c r="K15" i="40"/>
  <c r="J15" i="40"/>
  <c r="I15" i="40"/>
  <c r="H15" i="40"/>
  <c r="G15" i="40"/>
  <c r="F15" i="40"/>
  <c r="K14" i="40"/>
  <c r="J14" i="40"/>
  <c r="I14" i="40"/>
  <c r="H14" i="40"/>
  <c r="G14" i="40"/>
  <c r="F14" i="40"/>
  <c r="K13" i="40"/>
  <c r="J13" i="40"/>
  <c r="I13" i="40"/>
  <c r="H13" i="40"/>
  <c r="G13" i="40"/>
  <c r="F13" i="40"/>
  <c r="K12" i="40"/>
  <c r="J12" i="40"/>
  <c r="I12" i="40"/>
  <c r="H12" i="40"/>
  <c r="G12" i="40"/>
  <c r="F12" i="40"/>
  <c r="K11" i="40"/>
  <c r="K7" i="40" s="1"/>
  <c r="J11" i="40"/>
  <c r="J7" i="40" s="1"/>
  <c r="I11" i="40"/>
  <c r="I7" i="40" s="1"/>
  <c r="H11" i="40"/>
  <c r="G11" i="40"/>
  <c r="G7" i="40" s="1"/>
  <c r="F11" i="40"/>
  <c r="F7" i="40" s="1"/>
  <c r="K10" i="40"/>
  <c r="J10" i="40"/>
  <c r="I10" i="40"/>
  <c r="H10" i="40"/>
  <c r="H4" i="40" s="1"/>
  <c r="G10" i="40"/>
  <c r="F10" i="40"/>
  <c r="K9" i="40"/>
  <c r="J9" i="40"/>
  <c r="I9" i="40"/>
  <c r="H9" i="40"/>
  <c r="G9" i="40"/>
  <c r="G5" i="40" s="1"/>
  <c r="F9" i="40"/>
  <c r="F5" i="40" s="1"/>
  <c r="H7" i="40"/>
  <c r="H5" i="40"/>
  <c r="K81" i="39"/>
  <c r="J81" i="39"/>
  <c r="I81" i="39"/>
  <c r="H81" i="39"/>
  <c r="G81" i="39"/>
  <c r="F81" i="39"/>
  <c r="K80" i="39"/>
  <c r="J80" i="39"/>
  <c r="I80" i="39"/>
  <c r="H80" i="39"/>
  <c r="G80" i="39"/>
  <c r="F80" i="39"/>
  <c r="K79" i="39"/>
  <c r="J79" i="39"/>
  <c r="I79" i="39"/>
  <c r="H79" i="39"/>
  <c r="G79" i="39"/>
  <c r="F79" i="39"/>
  <c r="K78" i="39"/>
  <c r="J78" i="39"/>
  <c r="I78" i="39"/>
  <c r="H78" i="39"/>
  <c r="G78" i="39"/>
  <c r="F78" i="39"/>
  <c r="K77" i="39"/>
  <c r="J77" i="39"/>
  <c r="I77" i="39"/>
  <c r="H77" i="39"/>
  <c r="G77" i="39"/>
  <c r="F77" i="39"/>
  <c r="K76" i="39"/>
  <c r="J76" i="39"/>
  <c r="I76" i="39"/>
  <c r="H76" i="39"/>
  <c r="G76" i="39"/>
  <c r="F76" i="39"/>
  <c r="K75" i="39"/>
  <c r="J75" i="39"/>
  <c r="I75" i="39"/>
  <c r="H75" i="39"/>
  <c r="G75" i="39"/>
  <c r="F75" i="39"/>
  <c r="K74" i="39"/>
  <c r="J74" i="39"/>
  <c r="I74" i="39"/>
  <c r="H74" i="39"/>
  <c r="G74" i="39"/>
  <c r="F74" i="39"/>
  <c r="K73" i="39"/>
  <c r="J73" i="39"/>
  <c r="I73" i="39"/>
  <c r="H73" i="39"/>
  <c r="G73" i="39"/>
  <c r="F73" i="39"/>
  <c r="K72" i="39"/>
  <c r="K55" i="39" s="1"/>
  <c r="J72" i="39"/>
  <c r="I72" i="39"/>
  <c r="H72" i="39"/>
  <c r="G72" i="39"/>
  <c r="F72" i="39"/>
  <c r="F55" i="39" s="1"/>
  <c r="K71" i="39"/>
  <c r="J71" i="39"/>
  <c r="J58" i="39" s="1"/>
  <c r="I71" i="39"/>
  <c r="H71" i="39"/>
  <c r="G71" i="39"/>
  <c r="F71" i="39"/>
  <c r="K70" i="39"/>
  <c r="J70" i="39"/>
  <c r="I70" i="39"/>
  <c r="H70" i="39"/>
  <c r="G70" i="39"/>
  <c r="F70" i="39"/>
  <c r="K69" i="39"/>
  <c r="K61" i="39" s="1"/>
  <c r="J69" i="39"/>
  <c r="J61" i="39" s="1"/>
  <c r="I69" i="39"/>
  <c r="I61" i="39" s="1"/>
  <c r="H69" i="39"/>
  <c r="G69" i="39"/>
  <c r="F69" i="39"/>
  <c r="F61" i="39" s="1"/>
  <c r="K68" i="39"/>
  <c r="J68" i="39"/>
  <c r="I68" i="39"/>
  <c r="H68" i="39"/>
  <c r="H58" i="39" s="1"/>
  <c r="G68" i="39"/>
  <c r="F68" i="39"/>
  <c r="K67" i="39"/>
  <c r="J67" i="39"/>
  <c r="J54" i="39" s="1"/>
  <c r="I67" i="39"/>
  <c r="H67" i="39"/>
  <c r="G67" i="39"/>
  <c r="F67" i="39"/>
  <c r="K66" i="39"/>
  <c r="K62" i="39" s="1"/>
  <c r="J66" i="39"/>
  <c r="I66" i="39"/>
  <c r="I62" i="39" s="1"/>
  <c r="H66" i="39"/>
  <c r="H53" i="39" s="1"/>
  <c r="G66" i="39"/>
  <c r="G62" i="39" s="1"/>
  <c r="F66" i="39"/>
  <c r="F53" i="39" s="1"/>
  <c r="K65" i="39"/>
  <c r="J65" i="39"/>
  <c r="J63" i="39" s="1"/>
  <c r="I65" i="39"/>
  <c r="I63" i="39" s="1"/>
  <c r="H65" i="39"/>
  <c r="H63" i="39" s="1"/>
  <c r="G65" i="39"/>
  <c r="F65" i="39"/>
  <c r="F60" i="39" s="1"/>
  <c r="G63" i="39"/>
  <c r="J62" i="39"/>
  <c r="H61" i="39"/>
  <c r="G61" i="39"/>
  <c r="H60" i="39"/>
  <c r="G60" i="39"/>
  <c r="J55" i="39"/>
  <c r="I55" i="39"/>
  <c r="G55" i="39"/>
  <c r="J53" i="39"/>
  <c r="K48" i="39"/>
  <c r="J48" i="39"/>
  <c r="I48" i="39"/>
  <c r="H48" i="39"/>
  <c r="H41" i="39" s="1"/>
  <c r="G48" i="39"/>
  <c r="G41" i="39" s="1"/>
  <c r="F48" i="39"/>
  <c r="F41" i="39" s="1"/>
  <c r="K47" i="39"/>
  <c r="J47" i="39"/>
  <c r="I47" i="39"/>
  <c r="H47" i="39"/>
  <c r="G47" i="39"/>
  <c r="F47" i="39"/>
  <c r="K46" i="39"/>
  <c r="J46" i="39"/>
  <c r="I46" i="39"/>
  <c r="H46" i="39"/>
  <c r="G46" i="39"/>
  <c r="F46" i="39"/>
  <c r="K45" i="39"/>
  <c r="J45" i="39"/>
  <c r="I45" i="39"/>
  <c r="H45" i="39"/>
  <c r="G45" i="39"/>
  <c r="F45" i="39"/>
  <c r="K44" i="39"/>
  <c r="K37" i="39" s="1"/>
  <c r="J44" i="39"/>
  <c r="J37" i="39" s="1"/>
  <c r="I44" i="39"/>
  <c r="H44" i="39"/>
  <c r="H37" i="39" s="1"/>
  <c r="G44" i="39"/>
  <c r="G39" i="39" s="1"/>
  <c r="F44" i="39"/>
  <c r="F39" i="39" s="1"/>
  <c r="K43" i="39"/>
  <c r="K38" i="39" s="1"/>
  <c r="J43" i="39"/>
  <c r="I43" i="39"/>
  <c r="H43" i="39"/>
  <c r="H38" i="39" s="1"/>
  <c r="G43" i="39"/>
  <c r="F43" i="39"/>
  <c r="J41" i="39"/>
  <c r="J38" i="39"/>
  <c r="I38" i="39"/>
  <c r="G38" i="39"/>
  <c r="F38" i="39"/>
  <c r="K33" i="39"/>
  <c r="J33" i="39"/>
  <c r="I33" i="39"/>
  <c r="H33" i="39"/>
  <c r="G33" i="39"/>
  <c r="F33" i="39"/>
  <c r="K32" i="39"/>
  <c r="J32" i="39"/>
  <c r="I32" i="39"/>
  <c r="H32" i="39"/>
  <c r="G32" i="39"/>
  <c r="F32" i="39"/>
  <c r="K31" i="39"/>
  <c r="J31" i="39"/>
  <c r="I31" i="39"/>
  <c r="H31" i="39"/>
  <c r="G31" i="39"/>
  <c r="F31" i="39"/>
  <c r="K30" i="39"/>
  <c r="K21" i="39" s="1"/>
  <c r="J30" i="39"/>
  <c r="J21" i="39" s="1"/>
  <c r="I30" i="39"/>
  <c r="I21" i="39" s="1"/>
  <c r="H30" i="39"/>
  <c r="G30" i="39"/>
  <c r="F30" i="39"/>
  <c r="K29" i="39"/>
  <c r="J29" i="39"/>
  <c r="I29" i="39"/>
  <c r="H29" i="39"/>
  <c r="G29" i="39"/>
  <c r="F29" i="39"/>
  <c r="K28" i="39"/>
  <c r="K19" i="39" s="1"/>
  <c r="J28" i="39"/>
  <c r="J19" i="39" s="1"/>
  <c r="I28" i="39"/>
  <c r="I19" i="39" s="1"/>
  <c r="H28" i="39"/>
  <c r="H19" i="39" s="1"/>
  <c r="G28" i="39"/>
  <c r="F28" i="39"/>
  <c r="K27" i="39"/>
  <c r="J27" i="39"/>
  <c r="I27" i="39"/>
  <c r="H27" i="39"/>
  <c r="G27" i="39"/>
  <c r="F27" i="39"/>
  <c r="K15" i="39"/>
  <c r="J15" i="39"/>
  <c r="I15" i="39"/>
  <c r="H15" i="39"/>
  <c r="G15" i="39"/>
  <c r="F15" i="39"/>
  <c r="K14" i="39"/>
  <c r="J14" i="39"/>
  <c r="I14" i="39"/>
  <c r="H14" i="39"/>
  <c r="G14" i="39"/>
  <c r="F14" i="39"/>
  <c r="K13" i="39"/>
  <c r="J13" i="39"/>
  <c r="I13" i="39"/>
  <c r="H13" i="39"/>
  <c r="G13" i="39"/>
  <c r="F13" i="39"/>
  <c r="K12" i="39"/>
  <c r="J12" i="39"/>
  <c r="I12" i="39"/>
  <c r="H12" i="39"/>
  <c r="G12" i="39"/>
  <c r="F12" i="39"/>
  <c r="K11" i="39"/>
  <c r="K7" i="39" s="1"/>
  <c r="J11" i="39"/>
  <c r="J7" i="39" s="1"/>
  <c r="I11" i="39"/>
  <c r="I7" i="39" s="1"/>
  <c r="H11" i="39"/>
  <c r="H7" i="39" s="1"/>
  <c r="G11" i="39"/>
  <c r="F11" i="39"/>
  <c r="K10" i="39"/>
  <c r="J10" i="39"/>
  <c r="I10" i="39"/>
  <c r="H10" i="39"/>
  <c r="G10" i="39"/>
  <c r="F10" i="39"/>
  <c r="K9" i="39"/>
  <c r="J9" i="39"/>
  <c r="J5" i="39" s="1"/>
  <c r="I9" i="39"/>
  <c r="I5" i="39" s="1"/>
  <c r="H9" i="39"/>
  <c r="G9" i="39"/>
  <c r="F9" i="39"/>
  <c r="K81" i="38"/>
  <c r="J81" i="38"/>
  <c r="I81" i="38"/>
  <c r="H81" i="38"/>
  <c r="G81" i="38"/>
  <c r="F81" i="38"/>
  <c r="K80" i="38"/>
  <c r="J80" i="38"/>
  <c r="I80" i="38"/>
  <c r="H80" i="38"/>
  <c r="G80" i="38"/>
  <c r="F80" i="38"/>
  <c r="K79" i="38"/>
  <c r="J79" i="38"/>
  <c r="I79" i="38"/>
  <c r="H79" i="38"/>
  <c r="G79" i="38"/>
  <c r="F79" i="38"/>
  <c r="K78" i="38"/>
  <c r="J78" i="38"/>
  <c r="I78" i="38"/>
  <c r="H78" i="38"/>
  <c r="G78" i="38"/>
  <c r="F78" i="38"/>
  <c r="K77" i="38"/>
  <c r="J77" i="38"/>
  <c r="I77" i="38"/>
  <c r="H77" i="38"/>
  <c r="G77" i="38"/>
  <c r="F77" i="38"/>
  <c r="K76" i="38"/>
  <c r="J76" i="38"/>
  <c r="I76" i="38"/>
  <c r="H76" i="38"/>
  <c r="G76" i="38"/>
  <c r="F76" i="38"/>
  <c r="K75" i="38"/>
  <c r="J75" i="38"/>
  <c r="I75" i="38"/>
  <c r="H75" i="38"/>
  <c r="G75" i="38"/>
  <c r="F75" i="38"/>
  <c r="K74" i="38"/>
  <c r="J74" i="38"/>
  <c r="I74" i="38"/>
  <c r="H74" i="38"/>
  <c r="G74" i="38"/>
  <c r="G57" i="38" s="1"/>
  <c r="F74" i="38"/>
  <c r="F57" i="38" s="1"/>
  <c r="K73" i="38"/>
  <c r="J73" i="38"/>
  <c r="I73" i="38"/>
  <c r="H73" i="38"/>
  <c r="G73" i="38"/>
  <c r="F73" i="38"/>
  <c r="K72" i="38"/>
  <c r="J72" i="38"/>
  <c r="I72" i="38"/>
  <c r="H72" i="38"/>
  <c r="G72" i="38"/>
  <c r="F72" i="38"/>
  <c r="K71" i="38"/>
  <c r="J71" i="38"/>
  <c r="I71" i="38"/>
  <c r="H71" i="38"/>
  <c r="G71" i="38"/>
  <c r="F71" i="38"/>
  <c r="K70" i="38"/>
  <c r="J70" i="38"/>
  <c r="I70" i="38"/>
  <c r="I59" i="38" s="1"/>
  <c r="H70" i="38"/>
  <c r="G70" i="38"/>
  <c r="F70" i="38"/>
  <c r="K69" i="38"/>
  <c r="K61" i="38" s="1"/>
  <c r="J69" i="38"/>
  <c r="J61" i="38" s="1"/>
  <c r="I69" i="38"/>
  <c r="I61" i="38" s="1"/>
  <c r="H69" i="38"/>
  <c r="H61" i="38" s="1"/>
  <c r="G69" i="38"/>
  <c r="G61" i="38" s="1"/>
  <c r="F69" i="38"/>
  <c r="F59" i="38" s="1"/>
  <c r="K68" i="38"/>
  <c r="J68" i="38"/>
  <c r="I68" i="38"/>
  <c r="I58" i="38" s="1"/>
  <c r="H68" i="38"/>
  <c r="G68" i="38"/>
  <c r="F68" i="38"/>
  <c r="K67" i="38"/>
  <c r="J67" i="38"/>
  <c r="J54" i="38" s="1"/>
  <c r="I67" i="38"/>
  <c r="H67" i="38"/>
  <c r="G67" i="38"/>
  <c r="F67" i="38"/>
  <c r="K66" i="38"/>
  <c r="K62" i="38" s="1"/>
  <c r="J66" i="38"/>
  <c r="J62" i="38" s="1"/>
  <c r="I66" i="38"/>
  <c r="I62" i="38" s="1"/>
  <c r="H66" i="38"/>
  <c r="H62" i="38" s="1"/>
  <c r="G66" i="38"/>
  <c r="G62" i="38" s="1"/>
  <c r="F66" i="38"/>
  <c r="K65" i="38"/>
  <c r="K60" i="38" s="1"/>
  <c r="J65" i="38"/>
  <c r="J60" i="38" s="1"/>
  <c r="I65" i="38"/>
  <c r="H65" i="38"/>
  <c r="H60" i="38" s="1"/>
  <c r="G65" i="38"/>
  <c r="G60" i="38" s="1"/>
  <c r="F65" i="38"/>
  <c r="F63" i="38" s="1"/>
  <c r="I63" i="38"/>
  <c r="I60" i="38"/>
  <c r="K57" i="38"/>
  <c r="J57" i="38"/>
  <c r="F53" i="38"/>
  <c r="I52" i="38"/>
  <c r="K48" i="38"/>
  <c r="J48" i="38"/>
  <c r="I48" i="38"/>
  <c r="H48" i="38"/>
  <c r="G48" i="38"/>
  <c r="F48" i="38"/>
  <c r="K47" i="38"/>
  <c r="J47" i="38"/>
  <c r="I47" i="38"/>
  <c r="H47" i="38"/>
  <c r="G47" i="38"/>
  <c r="F47" i="38"/>
  <c r="K46" i="38"/>
  <c r="J46" i="38"/>
  <c r="I46" i="38"/>
  <c r="H46" i="38"/>
  <c r="G46" i="38"/>
  <c r="F46" i="38"/>
  <c r="K45" i="38"/>
  <c r="J45" i="38"/>
  <c r="I45" i="38"/>
  <c r="H45" i="38"/>
  <c r="G45" i="38"/>
  <c r="F45" i="38"/>
  <c r="K44" i="38"/>
  <c r="K37" i="38" s="1"/>
  <c r="J44" i="38"/>
  <c r="I44" i="38"/>
  <c r="H44" i="38"/>
  <c r="G44" i="38"/>
  <c r="F44" i="38"/>
  <c r="K43" i="38"/>
  <c r="K38" i="38" s="1"/>
  <c r="J43" i="38"/>
  <c r="J38" i="38" s="1"/>
  <c r="I43" i="38"/>
  <c r="I38" i="38" s="1"/>
  <c r="H43" i="38"/>
  <c r="H37" i="38" s="1"/>
  <c r="G43" i="38"/>
  <c r="G38" i="38" s="1"/>
  <c r="F43" i="38"/>
  <c r="F38" i="38" s="1"/>
  <c r="K41" i="38"/>
  <c r="H38" i="38"/>
  <c r="K33" i="38"/>
  <c r="J33" i="38"/>
  <c r="I33" i="38"/>
  <c r="H33" i="38"/>
  <c r="G33" i="38"/>
  <c r="F33" i="38"/>
  <c r="K32" i="38"/>
  <c r="J32" i="38"/>
  <c r="I32" i="38"/>
  <c r="H32" i="38"/>
  <c r="G32" i="38"/>
  <c r="F32" i="38"/>
  <c r="K31" i="38"/>
  <c r="J31" i="38"/>
  <c r="I31" i="38"/>
  <c r="H31" i="38"/>
  <c r="G31" i="38"/>
  <c r="F31" i="38"/>
  <c r="K30" i="38"/>
  <c r="K21" i="38" s="1"/>
  <c r="J30" i="38"/>
  <c r="J21" i="38" s="1"/>
  <c r="I30" i="38"/>
  <c r="I21" i="38" s="1"/>
  <c r="H30" i="38"/>
  <c r="G30" i="38"/>
  <c r="F30" i="38"/>
  <c r="K29" i="38"/>
  <c r="J29" i="38"/>
  <c r="I29" i="38"/>
  <c r="H29" i="38"/>
  <c r="G29" i="38"/>
  <c r="F29" i="38"/>
  <c r="K28" i="38"/>
  <c r="K19" i="38" s="1"/>
  <c r="J28" i="38"/>
  <c r="J19" i="38" s="1"/>
  <c r="I28" i="38"/>
  <c r="I19" i="38" s="1"/>
  <c r="H28" i="38"/>
  <c r="G28" i="38"/>
  <c r="F28" i="38"/>
  <c r="F19" i="38" s="1"/>
  <c r="K27" i="38"/>
  <c r="J27" i="38"/>
  <c r="I27" i="38"/>
  <c r="H27" i="38"/>
  <c r="G27" i="38"/>
  <c r="F27" i="38"/>
  <c r="K15" i="38"/>
  <c r="J15" i="38"/>
  <c r="I15" i="38"/>
  <c r="H15" i="38"/>
  <c r="G15" i="38"/>
  <c r="F15" i="38"/>
  <c r="K14" i="38"/>
  <c r="J14" i="38"/>
  <c r="I14" i="38"/>
  <c r="H14" i="38"/>
  <c r="G14" i="38"/>
  <c r="F14" i="38"/>
  <c r="K13" i="38"/>
  <c r="J13" i="38"/>
  <c r="I13" i="38"/>
  <c r="H13" i="38"/>
  <c r="G13" i="38"/>
  <c r="F13" i="38"/>
  <c r="K12" i="38"/>
  <c r="J12" i="38"/>
  <c r="I12" i="38"/>
  <c r="H12" i="38"/>
  <c r="G12" i="38"/>
  <c r="F12" i="38"/>
  <c r="K11" i="38"/>
  <c r="K7" i="38" s="1"/>
  <c r="J11" i="38"/>
  <c r="J7" i="38" s="1"/>
  <c r="I11" i="38"/>
  <c r="I6" i="38" s="1"/>
  <c r="H11" i="38"/>
  <c r="G11" i="38"/>
  <c r="G7" i="38" s="1"/>
  <c r="F11" i="38"/>
  <c r="F7" i="38" s="1"/>
  <c r="K10" i="38"/>
  <c r="J10" i="38"/>
  <c r="I10" i="38"/>
  <c r="H10" i="38"/>
  <c r="G10" i="38"/>
  <c r="F10" i="38"/>
  <c r="K9" i="38"/>
  <c r="K4" i="38" s="1"/>
  <c r="J9" i="38"/>
  <c r="J4" i="38" s="1"/>
  <c r="I9" i="38"/>
  <c r="I4" i="38" s="1"/>
  <c r="H9" i="38"/>
  <c r="G9" i="38"/>
  <c r="G5" i="38" s="1"/>
  <c r="F9" i="38"/>
  <c r="F5" i="38" s="1"/>
  <c r="K81" i="26"/>
  <c r="J81" i="26"/>
  <c r="I81" i="26"/>
  <c r="H81" i="26"/>
  <c r="G81" i="26"/>
  <c r="F81" i="26"/>
  <c r="K80" i="26"/>
  <c r="J80" i="26"/>
  <c r="I80" i="26"/>
  <c r="H80" i="26"/>
  <c r="G80" i="26"/>
  <c r="F80" i="26"/>
  <c r="K79" i="26"/>
  <c r="J79" i="26"/>
  <c r="I79" i="26"/>
  <c r="H79" i="26"/>
  <c r="G79" i="26"/>
  <c r="F79" i="26"/>
  <c r="K78" i="26"/>
  <c r="J78" i="26"/>
  <c r="I78" i="26"/>
  <c r="H78" i="26"/>
  <c r="G78" i="26"/>
  <c r="F78" i="26"/>
  <c r="K77" i="26"/>
  <c r="J77" i="26"/>
  <c r="I77" i="26"/>
  <c r="H77" i="26"/>
  <c r="G77" i="26"/>
  <c r="F77" i="26"/>
  <c r="K76" i="26"/>
  <c r="J76" i="26"/>
  <c r="I76" i="26"/>
  <c r="H76" i="26"/>
  <c r="G76" i="26"/>
  <c r="F76" i="26"/>
  <c r="K75" i="26"/>
  <c r="J75" i="26"/>
  <c r="I75" i="26"/>
  <c r="H75" i="26"/>
  <c r="G75" i="26"/>
  <c r="F75" i="26"/>
  <c r="K74" i="26"/>
  <c r="J74" i="26"/>
  <c r="I74" i="26"/>
  <c r="H74" i="26"/>
  <c r="G74" i="26"/>
  <c r="F74" i="26"/>
  <c r="K73" i="26"/>
  <c r="J73" i="26"/>
  <c r="I73" i="26"/>
  <c r="H73" i="26"/>
  <c r="H56" i="26" s="1"/>
  <c r="G73" i="26"/>
  <c r="G56" i="26" s="1"/>
  <c r="F73" i="26"/>
  <c r="F56" i="26" s="1"/>
  <c r="K72" i="26"/>
  <c r="K55" i="26" s="1"/>
  <c r="J72" i="26"/>
  <c r="I72" i="26"/>
  <c r="I55" i="26" s="1"/>
  <c r="H72" i="26"/>
  <c r="H55" i="26" s="1"/>
  <c r="G72" i="26"/>
  <c r="F72" i="26"/>
  <c r="F55" i="26" s="1"/>
  <c r="K71" i="26"/>
  <c r="J71" i="26"/>
  <c r="I71" i="26"/>
  <c r="H71" i="26"/>
  <c r="G71" i="26"/>
  <c r="F71" i="26"/>
  <c r="K70" i="26"/>
  <c r="J70" i="26"/>
  <c r="I70" i="26"/>
  <c r="H70" i="26"/>
  <c r="G70" i="26"/>
  <c r="F70" i="26"/>
  <c r="K69" i="26"/>
  <c r="J69" i="26"/>
  <c r="J59" i="26" s="1"/>
  <c r="I69" i="26"/>
  <c r="H69" i="26"/>
  <c r="H61" i="26" s="1"/>
  <c r="G69" i="26"/>
  <c r="G61" i="26" s="1"/>
  <c r="F69" i="26"/>
  <c r="F59" i="26" s="1"/>
  <c r="K68" i="26"/>
  <c r="J68" i="26"/>
  <c r="I68" i="26"/>
  <c r="I58" i="26" s="1"/>
  <c r="H68" i="26"/>
  <c r="G68" i="26"/>
  <c r="F68" i="26"/>
  <c r="K67" i="26"/>
  <c r="J67" i="26"/>
  <c r="J54" i="26" s="1"/>
  <c r="I67" i="26"/>
  <c r="H67" i="26"/>
  <c r="G67" i="26"/>
  <c r="F67" i="26"/>
  <c r="K66" i="26"/>
  <c r="K62" i="26" s="1"/>
  <c r="J66" i="26"/>
  <c r="J62" i="26" s="1"/>
  <c r="I66" i="26"/>
  <c r="I62" i="26" s="1"/>
  <c r="H66" i="26"/>
  <c r="H62" i="26" s="1"/>
  <c r="G66" i="26"/>
  <c r="G62" i="26" s="1"/>
  <c r="F66" i="26"/>
  <c r="F53" i="26" s="1"/>
  <c r="K65" i="26"/>
  <c r="J65" i="26"/>
  <c r="J63" i="26" s="1"/>
  <c r="I65" i="26"/>
  <c r="H65" i="26"/>
  <c r="H63" i="26" s="1"/>
  <c r="G65" i="26"/>
  <c r="G60" i="26" s="1"/>
  <c r="F65" i="26"/>
  <c r="F63" i="26" s="1"/>
  <c r="K61" i="26"/>
  <c r="I61" i="26"/>
  <c r="F61" i="26"/>
  <c r="K59" i="26"/>
  <c r="I59" i="26"/>
  <c r="K56" i="26"/>
  <c r="J56" i="26"/>
  <c r="I56" i="26"/>
  <c r="J55" i="26"/>
  <c r="J53" i="26"/>
  <c r="I53" i="26"/>
  <c r="K48" i="26"/>
  <c r="J48" i="26"/>
  <c r="J41" i="26" s="1"/>
  <c r="I48" i="26"/>
  <c r="H48" i="26"/>
  <c r="G48" i="26"/>
  <c r="F48" i="26"/>
  <c r="K47" i="26"/>
  <c r="J47" i="26"/>
  <c r="I47" i="26"/>
  <c r="I41" i="26" s="1"/>
  <c r="H47" i="26"/>
  <c r="G47" i="26"/>
  <c r="G41" i="26" s="1"/>
  <c r="F47" i="26"/>
  <c r="K46" i="26"/>
  <c r="J46" i="26"/>
  <c r="I46" i="26"/>
  <c r="H46" i="26"/>
  <c r="G46" i="26"/>
  <c r="F46" i="26"/>
  <c r="K45" i="26"/>
  <c r="J45" i="26"/>
  <c r="I45" i="26"/>
  <c r="H45" i="26"/>
  <c r="G45" i="26"/>
  <c r="F45" i="26"/>
  <c r="K44" i="26"/>
  <c r="K39" i="26" s="1"/>
  <c r="J44" i="26"/>
  <c r="J37" i="26" s="1"/>
  <c r="I44" i="26"/>
  <c r="I40" i="26" s="1"/>
  <c r="H44" i="26"/>
  <c r="G44" i="26"/>
  <c r="F44" i="26"/>
  <c r="K43" i="26"/>
  <c r="J43" i="26"/>
  <c r="J38" i="26" s="1"/>
  <c r="I43" i="26"/>
  <c r="I38" i="26" s="1"/>
  <c r="H43" i="26"/>
  <c r="G43" i="26"/>
  <c r="G37" i="26" s="1"/>
  <c r="F43" i="26"/>
  <c r="H41" i="26"/>
  <c r="H38" i="26"/>
  <c r="K33" i="26"/>
  <c r="J33" i="26"/>
  <c r="I33" i="26"/>
  <c r="H33" i="26"/>
  <c r="G33" i="26"/>
  <c r="F33" i="26"/>
  <c r="K32" i="26"/>
  <c r="J32" i="26"/>
  <c r="I32" i="26"/>
  <c r="H32" i="26"/>
  <c r="G32" i="26"/>
  <c r="F32" i="26"/>
  <c r="K31" i="26"/>
  <c r="J31" i="26"/>
  <c r="I31" i="26"/>
  <c r="H31" i="26"/>
  <c r="G31" i="26"/>
  <c r="F31" i="26"/>
  <c r="K30" i="26"/>
  <c r="J30" i="26"/>
  <c r="J21" i="26" s="1"/>
  <c r="I30" i="26"/>
  <c r="I21" i="26" s="1"/>
  <c r="H30" i="26"/>
  <c r="G30" i="26"/>
  <c r="F30" i="26"/>
  <c r="K29" i="26"/>
  <c r="J29" i="26"/>
  <c r="I29" i="26"/>
  <c r="H29" i="26"/>
  <c r="G29" i="26"/>
  <c r="F29" i="26"/>
  <c r="K28" i="26"/>
  <c r="J28" i="26"/>
  <c r="J19" i="26" s="1"/>
  <c r="I28" i="26"/>
  <c r="I19" i="26" s="1"/>
  <c r="H28" i="26"/>
  <c r="G28" i="26"/>
  <c r="F28" i="26"/>
  <c r="K27" i="26"/>
  <c r="J27" i="26"/>
  <c r="I27" i="26"/>
  <c r="H27" i="26"/>
  <c r="G27" i="26"/>
  <c r="F27" i="26"/>
  <c r="K15" i="26"/>
  <c r="J15" i="26"/>
  <c r="I15" i="26"/>
  <c r="H15" i="26"/>
  <c r="G15" i="26"/>
  <c r="F15" i="26"/>
  <c r="K14" i="26"/>
  <c r="K5" i="26" s="1"/>
  <c r="J14" i="26"/>
  <c r="I14" i="26"/>
  <c r="H14" i="26"/>
  <c r="G14" i="26"/>
  <c r="F14" i="26"/>
  <c r="K13" i="26"/>
  <c r="J13" i="26"/>
  <c r="I13" i="26"/>
  <c r="H13" i="26"/>
  <c r="G13" i="26"/>
  <c r="F13" i="26"/>
  <c r="K12" i="26"/>
  <c r="J12" i="26"/>
  <c r="I12" i="26"/>
  <c r="H12" i="26"/>
  <c r="G12" i="26"/>
  <c r="F12" i="26"/>
  <c r="K11" i="26"/>
  <c r="J11" i="26"/>
  <c r="J7" i="26" s="1"/>
  <c r="I11" i="26"/>
  <c r="I7" i="26" s="1"/>
  <c r="H11" i="26"/>
  <c r="G11" i="26"/>
  <c r="F11" i="26"/>
  <c r="K10" i="26"/>
  <c r="K6" i="26" s="1"/>
  <c r="J10" i="26"/>
  <c r="I10" i="26"/>
  <c r="H10" i="26"/>
  <c r="G10" i="26"/>
  <c r="F10" i="26"/>
  <c r="K9" i="26"/>
  <c r="J9" i="26"/>
  <c r="J5" i="26" s="1"/>
  <c r="I9" i="26"/>
  <c r="H9" i="26"/>
  <c r="G9" i="26"/>
  <c r="F9" i="26"/>
  <c r="K7" i="26"/>
  <c r="F48" i="32"/>
  <c r="K81" i="32"/>
  <c r="J81" i="32"/>
  <c r="I81" i="32"/>
  <c r="H81" i="32"/>
  <c r="G81" i="32"/>
  <c r="F81" i="32"/>
  <c r="K80" i="32"/>
  <c r="J80" i="32"/>
  <c r="I80" i="32"/>
  <c r="H80" i="32"/>
  <c r="G80" i="32"/>
  <c r="F80" i="32"/>
  <c r="K79" i="32"/>
  <c r="J79" i="32"/>
  <c r="I79" i="32"/>
  <c r="H79" i="32"/>
  <c r="G79" i="32"/>
  <c r="F79" i="32"/>
  <c r="K78" i="32"/>
  <c r="J78" i="32"/>
  <c r="I78" i="32"/>
  <c r="H78" i="32"/>
  <c r="G78" i="32"/>
  <c r="F78" i="32"/>
  <c r="K77" i="32"/>
  <c r="J77" i="32"/>
  <c r="I77" i="32"/>
  <c r="H77" i="32"/>
  <c r="G77" i="32"/>
  <c r="F77" i="32"/>
  <c r="K76" i="32"/>
  <c r="J76" i="32"/>
  <c r="I76" i="32"/>
  <c r="H76" i="32"/>
  <c r="G76" i="32"/>
  <c r="F76" i="32"/>
  <c r="K75" i="32"/>
  <c r="J75" i="32"/>
  <c r="I75" i="32"/>
  <c r="H75" i="32"/>
  <c r="G75" i="32"/>
  <c r="F75" i="32"/>
  <c r="K74" i="32"/>
  <c r="J74" i="32"/>
  <c r="J57" i="32" s="1"/>
  <c r="I74" i="32"/>
  <c r="H74" i="32"/>
  <c r="G74" i="32"/>
  <c r="F74" i="32"/>
  <c r="K73" i="32"/>
  <c r="K56" i="32" s="1"/>
  <c r="J73" i="32"/>
  <c r="I73" i="32"/>
  <c r="H73" i="32"/>
  <c r="H56" i="32" s="1"/>
  <c r="G73" i="32"/>
  <c r="G56" i="32" s="1"/>
  <c r="F73" i="32"/>
  <c r="F56" i="32" s="1"/>
  <c r="K72" i="32"/>
  <c r="J72" i="32"/>
  <c r="J55" i="32" s="1"/>
  <c r="I72" i="32"/>
  <c r="H72" i="32"/>
  <c r="G72" i="32"/>
  <c r="F72" i="32"/>
  <c r="K71" i="32"/>
  <c r="J71" i="32"/>
  <c r="I71" i="32"/>
  <c r="H71" i="32"/>
  <c r="G71" i="32"/>
  <c r="F71" i="32"/>
  <c r="K70" i="32"/>
  <c r="J70" i="32"/>
  <c r="I70" i="32"/>
  <c r="H70" i="32"/>
  <c r="G70" i="32"/>
  <c r="F70" i="32"/>
  <c r="K69" i="32"/>
  <c r="K61" i="32" s="1"/>
  <c r="J69" i="32"/>
  <c r="I69" i="32"/>
  <c r="I61" i="32" s="1"/>
  <c r="H69" i="32"/>
  <c r="H61" i="32" s="1"/>
  <c r="G69" i="32"/>
  <c r="G61" i="32" s="1"/>
  <c r="F69" i="32"/>
  <c r="F59" i="32" s="1"/>
  <c r="K68" i="32"/>
  <c r="J68" i="32"/>
  <c r="I68" i="32"/>
  <c r="H68" i="32"/>
  <c r="G68" i="32"/>
  <c r="F68" i="32"/>
  <c r="K67" i="32"/>
  <c r="J67" i="32"/>
  <c r="J54" i="32" s="1"/>
  <c r="I67" i="32"/>
  <c r="H67" i="32"/>
  <c r="G67" i="32"/>
  <c r="F67" i="32"/>
  <c r="F54" i="32" s="1"/>
  <c r="K66" i="32"/>
  <c r="K62" i="32" s="1"/>
  <c r="J66" i="32"/>
  <c r="J62" i="32" s="1"/>
  <c r="I66" i="32"/>
  <c r="I62" i="32" s="1"/>
  <c r="H66" i="32"/>
  <c r="H62" i="32" s="1"/>
  <c r="G66" i="32"/>
  <c r="G53" i="32" s="1"/>
  <c r="F66" i="32"/>
  <c r="K65" i="32"/>
  <c r="K60" i="32" s="1"/>
  <c r="J65" i="32"/>
  <c r="I65" i="32"/>
  <c r="I63" i="32" s="1"/>
  <c r="H65" i="32"/>
  <c r="H60" i="32" s="1"/>
  <c r="G65" i="32"/>
  <c r="G60" i="32" s="1"/>
  <c r="F65" i="32"/>
  <c r="F60" i="32" s="1"/>
  <c r="I56" i="32"/>
  <c r="H55" i="32"/>
  <c r="F55" i="32"/>
  <c r="J53" i="32"/>
  <c r="K48" i="32"/>
  <c r="J48" i="32"/>
  <c r="I48" i="32"/>
  <c r="H48" i="32"/>
  <c r="G48" i="32"/>
  <c r="K47" i="32"/>
  <c r="J47" i="32"/>
  <c r="I47" i="32"/>
  <c r="H47" i="32"/>
  <c r="G47" i="32"/>
  <c r="F47" i="32"/>
  <c r="F41" i="32" s="1"/>
  <c r="K46" i="32"/>
  <c r="J46" i="32"/>
  <c r="I46" i="32"/>
  <c r="H46" i="32"/>
  <c r="G46" i="32"/>
  <c r="F46" i="32"/>
  <c r="K45" i="32"/>
  <c r="J45" i="32"/>
  <c r="I45" i="32"/>
  <c r="H45" i="32"/>
  <c r="G45" i="32"/>
  <c r="F45" i="32"/>
  <c r="K44" i="32"/>
  <c r="K39" i="32" s="1"/>
  <c r="J44" i="32"/>
  <c r="I44" i="32"/>
  <c r="I40" i="32" s="1"/>
  <c r="H44" i="32"/>
  <c r="G44" i="32"/>
  <c r="F44" i="32"/>
  <c r="K43" i="32"/>
  <c r="K38" i="32" s="1"/>
  <c r="J43" i="32"/>
  <c r="J37" i="32" s="1"/>
  <c r="I43" i="32"/>
  <c r="H43" i="32"/>
  <c r="G43" i="32"/>
  <c r="G37" i="32" s="1"/>
  <c r="F43" i="32"/>
  <c r="H41" i="32"/>
  <c r="J40" i="32"/>
  <c r="K33" i="32"/>
  <c r="J33" i="32"/>
  <c r="I33" i="32"/>
  <c r="H33" i="32"/>
  <c r="G33" i="32"/>
  <c r="F33" i="32"/>
  <c r="K32" i="32"/>
  <c r="J32" i="32"/>
  <c r="I32" i="32"/>
  <c r="H32" i="32"/>
  <c r="G32" i="32"/>
  <c r="F32" i="32"/>
  <c r="K31" i="32"/>
  <c r="J31" i="32"/>
  <c r="I31" i="32"/>
  <c r="H31" i="32"/>
  <c r="G31" i="32"/>
  <c r="F31" i="32"/>
  <c r="K30" i="32"/>
  <c r="J30" i="32"/>
  <c r="I30" i="32"/>
  <c r="H30" i="32"/>
  <c r="G30" i="32"/>
  <c r="G21" i="32" s="1"/>
  <c r="F30" i="32"/>
  <c r="K29" i="32"/>
  <c r="J29" i="32"/>
  <c r="I29" i="32"/>
  <c r="H29" i="32"/>
  <c r="G29" i="32"/>
  <c r="F29" i="32"/>
  <c r="K28" i="32"/>
  <c r="J28" i="32"/>
  <c r="I28" i="32"/>
  <c r="I19" i="32" s="1"/>
  <c r="H28" i="32"/>
  <c r="H19" i="32" s="1"/>
  <c r="G28" i="32"/>
  <c r="G19" i="32" s="1"/>
  <c r="F28" i="32"/>
  <c r="K27" i="32"/>
  <c r="J27" i="32"/>
  <c r="I27" i="32"/>
  <c r="H27" i="32"/>
  <c r="G27" i="32"/>
  <c r="F27" i="32"/>
  <c r="K15" i="32"/>
  <c r="J15" i="32"/>
  <c r="I15" i="32"/>
  <c r="H15" i="32"/>
  <c r="G15" i="32"/>
  <c r="F15" i="32"/>
  <c r="K14" i="32"/>
  <c r="J14" i="32"/>
  <c r="I14" i="32"/>
  <c r="H14" i="32"/>
  <c r="G14" i="32"/>
  <c r="F14" i="32"/>
  <c r="K13" i="32"/>
  <c r="J13" i="32"/>
  <c r="I13" i="32"/>
  <c r="H13" i="32"/>
  <c r="G13" i="32"/>
  <c r="F13" i="32"/>
  <c r="K12" i="32"/>
  <c r="J12" i="32"/>
  <c r="I12" i="32"/>
  <c r="H12" i="32"/>
  <c r="G12" i="32"/>
  <c r="F12" i="32"/>
  <c r="K11" i="32"/>
  <c r="J11" i="32"/>
  <c r="I11" i="32"/>
  <c r="I7" i="32" s="1"/>
  <c r="H11" i="32"/>
  <c r="G11" i="32"/>
  <c r="F11" i="32"/>
  <c r="K10" i="32"/>
  <c r="J10" i="32"/>
  <c r="I10" i="32"/>
  <c r="H10" i="32"/>
  <c r="H4" i="32" s="1"/>
  <c r="G10" i="32"/>
  <c r="F10" i="32"/>
  <c r="K9" i="32"/>
  <c r="J9" i="32"/>
  <c r="I9" i="32"/>
  <c r="I5" i="32" s="1"/>
  <c r="H9" i="32"/>
  <c r="G9" i="32"/>
  <c r="F9" i="32"/>
  <c r="H7" i="32"/>
  <c r="K5" i="32"/>
  <c r="H5" i="32"/>
  <c r="K81" i="35"/>
  <c r="J81" i="35"/>
  <c r="I81" i="35"/>
  <c r="H81" i="35"/>
  <c r="G81" i="35"/>
  <c r="F81" i="35"/>
  <c r="K80" i="35"/>
  <c r="J80" i="35"/>
  <c r="I80" i="35"/>
  <c r="I63" i="35" s="1"/>
  <c r="H80" i="35"/>
  <c r="H63" i="35" s="1"/>
  <c r="G80" i="35"/>
  <c r="F80" i="35"/>
  <c r="K79" i="35"/>
  <c r="J79" i="35"/>
  <c r="I79" i="35"/>
  <c r="H79" i="35"/>
  <c r="G79" i="35"/>
  <c r="F79" i="35"/>
  <c r="K78" i="35"/>
  <c r="J78" i="35"/>
  <c r="I78" i="35"/>
  <c r="H78" i="35"/>
  <c r="G78" i="35"/>
  <c r="F78" i="35"/>
  <c r="K77" i="35"/>
  <c r="J77" i="35"/>
  <c r="I77" i="35"/>
  <c r="H77" i="35"/>
  <c r="G77" i="35"/>
  <c r="F77" i="35"/>
  <c r="K76" i="35"/>
  <c r="J76" i="35"/>
  <c r="I76" i="35"/>
  <c r="H76" i="35"/>
  <c r="G76" i="35"/>
  <c r="F76" i="35"/>
  <c r="K75" i="35"/>
  <c r="J75" i="35"/>
  <c r="I75" i="35"/>
  <c r="H75" i="35"/>
  <c r="G75" i="35"/>
  <c r="F75" i="35"/>
  <c r="K74" i="35"/>
  <c r="J74" i="35"/>
  <c r="I74" i="35"/>
  <c r="I57" i="35" s="1"/>
  <c r="H74" i="35"/>
  <c r="G74" i="35"/>
  <c r="G57" i="35" s="1"/>
  <c r="F74" i="35"/>
  <c r="F57" i="35" s="1"/>
  <c r="K73" i="35"/>
  <c r="K56" i="35" s="1"/>
  <c r="J73" i="35"/>
  <c r="J56" i="35" s="1"/>
  <c r="I73" i="35"/>
  <c r="H73" i="35"/>
  <c r="G73" i="35"/>
  <c r="F73" i="35"/>
  <c r="K72" i="35"/>
  <c r="J72" i="35"/>
  <c r="J55" i="35" s="1"/>
  <c r="I72" i="35"/>
  <c r="H72" i="35"/>
  <c r="H54" i="35" s="1"/>
  <c r="G72" i="35"/>
  <c r="G54" i="35" s="1"/>
  <c r="F72" i="35"/>
  <c r="F54" i="35" s="1"/>
  <c r="K71" i="35"/>
  <c r="J71" i="35"/>
  <c r="I71" i="35"/>
  <c r="H71" i="35"/>
  <c r="G71" i="35"/>
  <c r="F71" i="35"/>
  <c r="K70" i="35"/>
  <c r="J70" i="35"/>
  <c r="I70" i="35"/>
  <c r="I59" i="35" s="1"/>
  <c r="H70" i="35"/>
  <c r="H52" i="35" s="1"/>
  <c r="G70" i="35"/>
  <c r="G52" i="35" s="1"/>
  <c r="F70" i="35"/>
  <c r="F52" i="35" s="1"/>
  <c r="K69" i="35"/>
  <c r="J69" i="35"/>
  <c r="J61" i="35" s="1"/>
  <c r="I69" i="35"/>
  <c r="H69" i="35"/>
  <c r="G69" i="35"/>
  <c r="F69" i="35"/>
  <c r="K68" i="35"/>
  <c r="J68" i="35"/>
  <c r="I68" i="35"/>
  <c r="I58" i="35" s="1"/>
  <c r="H68" i="35"/>
  <c r="G68" i="35"/>
  <c r="G58" i="35" s="1"/>
  <c r="F68" i="35"/>
  <c r="F58" i="35" s="1"/>
  <c r="K67" i="35"/>
  <c r="J67" i="35"/>
  <c r="I67" i="35"/>
  <c r="H67" i="35"/>
  <c r="G67" i="35"/>
  <c r="F67" i="35"/>
  <c r="K66" i="35"/>
  <c r="K62" i="35" s="1"/>
  <c r="J66" i="35"/>
  <c r="I66" i="35"/>
  <c r="I62" i="35" s="1"/>
  <c r="H66" i="35"/>
  <c r="H62" i="35" s="1"/>
  <c r="G66" i="35"/>
  <c r="G62" i="35" s="1"/>
  <c r="F66" i="35"/>
  <c r="K65" i="35"/>
  <c r="K60" i="35" s="1"/>
  <c r="J65" i="35"/>
  <c r="I65" i="35"/>
  <c r="H65" i="35"/>
  <c r="G65" i="35"/>
  <c r="F65" i="35"/>
  <c r="F63" i="35"/>
  <c r="J62" i="35"/>
  <c r="K61" i="35"/>
  <c r="I61" i="35"/>
  <c r="H61" i="35"/>
  <c r="G61" i="35"/>
  <c r="F61" i="35"/>
  <c r="I60" i="35"/>
  <c r="H60" i="35"/>
  <c r="G60" i="35"/>
  <c r="F60" i="35"/>
  <c r="H56" i="35"/>
  <c r="G56" i="35"/>
  <c r="F56" i="35"/>
  <c r="F55" i="35"/>
  <c r="F53" i="35"/>
  <c r="K48" i="35"/>
  <c r="J48" i="35"/>
  <c r="I48" i="35"/>
  <c r="H48" i="35"/>
  <c r="G48" i="35"/>
  <c r="F48" i="35"/>
  <c r="K47" i="35"/>
  <c r="J47" i="35"/>
  <c r="J41" i="35" s="1"/>
  <c r="I47" i="35"/>
  <c r="I41" i="35" s="1"/>
  <c r="H47" i="35"/>
  <c r="H41" i="35" s="1"/>
  <c r="G47" i="35"/>
  <c r="F47" i="35"/>
  <c r="K46" i="35"/>
  <c r="J46" i="35"/>
  <c r="I46" i="35"/>
  <c r="H46" i="35"/>
  <c r="G46" i="35"/>
  <c r="F46" i="35"/>
  <c r="K45" i="35"/>
  <c r="K39" i="35" s="1"/>
  <c r="J45" i="35"/>
  <c r="I45" i="35"/>
  <c r="I39" i="35" s="1"/>
  <c r="H45" i="35"/>
  <c r="G45" i="35"/>
  <c r="F45" i="35"/>
  <c r="K44" i="35"/>
  <c r="J44" i="35"/>
  <c r="I44" i="35"/>
  <c r="H44" i="35"/>
  <c r="G44" i="35"/>
  <c r="F44" i="35"/>
  <c r="K43" i="35"/>
  <c r="K38" i="35" s="1"/>
  <c r="J43" i="35"/>
  <c r="J38" i="35" s="1"/>
  <c r="I43" i="35"/>
  <c r="I38" i="35" s="1"/>
  <c r="H43" i="35"/>
  <c r="H38" i="35" s="1"/>
  <c r="G43" i="35"/>
  <c r="G38" i="35" s="1"/>
  <c r="F43" i="35"/>
  <c r="F38" i="35" s="1"/>
  <c r="H37" i="35"/>
  <c r="F37" i="35"/>
  <c r="K33" i="35"/>
  <c r="J33" i="35"/>
  <c r="I33" i="35"/>
  <c r="H33" i="35"/>
  <c r="G33" i="35"/>
  <c r="F33" i="35"/>
  <c r="K32" i="35"/>
  <c r="J32" i="35"/>
  <c r="I32" i="35"/>
  <c r="H32" i="35"/>
  <c r="G32" i="35"/>
  <c r="F32" i="35"/>
  <c r="K31" i="35"/>
  <c r="J31" i="35"/>
  <c r="I31" i="35"/>
  <c r="H31" i="35"/>
  <c r="G31" i="35"/>
  <c r="F31" i="35"/>
  <c r="K30" i="35"/>
  <c r="J30" i="35"/>
  <c r="I30" i="35"/>
  <c r="H30" i="35"/>
  <c r="G30" i="35"/>
  <c r="G21" i="35" s="1"/>
  <c r="F30" i="35"/>
  <c r="F21" i="35" s="1"/>
  <c r="K29" i="35"/>
  <c r="K20" i="35" s="1"/>
  <c r="J29" i="35"/>
  <c r="I29" i="35"/>
  <c r="H29" i="35"/>
  <c r="G29" i="35"/>
  <c r="F29" i="35"/>
  <c r="K28" i="35"/>
  <c r="J28" i="35"/>
  <c r="I28" i="35"/>
  <c r="H28" i="35"/>
  <c r="G28" i="35"/>
  <c r="G19" i="35" s="1"/>
  <c r="F28" i="35"/>
  <c r="F19" i="35" s="1"/>
  <c r="K27" i="35"/>
  <c r="J27" i="35"/>
  <c r="I27" i="35"/>
  <c r="H27" i="35"/>
  <c r="G27" i="35"/>
  <c r="F27" i="35"/>
  <c r="K15" i="35"/>
  <c r="J15" i="35"/>
  <c r="I15" i="35"/>
  <c r="H15" i="35"/>
  <c r="G15" i="35"/>
  <c r="F15" i="35"/>
  <c r="K14" i="35"/>
  <c r="J14" i="35"/>
  <c r="I14" i="35"/>
  <c r="H14" i="35"/>
  <c r="G14" i="35"/>
  <c r="F14" i="35"/>
  <c r="K13" i="35"/>
  <c r="J13" i="35"/>
  <c r="I13" i="35"/>
  <c r="H13" i="35"/>
  <c r="G13" i="35"/>
  <c r="F13" i="35"/>
  <c r="K12" i="35"/>
  <c r="J12" i="35"/>
  <c r="I12" i="35"/>
  <c r="H12" i="35"/>
  <c r="G12" i="35"/>
  <c r="F12" i="35"/>
  <c r="K11" i="35"/>
  <c r="J11" i="35"/>
  <c r="J6" i="35" s="1"/>
  <c r="I11" i="35"/>
  <c r="H11" i="35"/>
  <c r="G11" i="35"/>
  <c r="G7" i="35" s="1"/>
  <c r="F11" i="35"/>
  <c r="K10" i="35"/>
  <c r="J10" i="35"/>
  <c r="I10" i="35"/>
  <c r="I4" i="35" s="1"/>
  <c r="H10" i="35"/>
  <c r="H4" i="35" s="1"/>
  <c r="G10" i="35"/>
  <c r="F10" i="35"/>
  <c r="K9" i="35"/>
  <c r="J9" i="35"/>
  <c r="J5" i="35" s="1"/>
  <c r="I9" i="35"/>
  <c r="H9" i="35"/>
  <c r="G9" i="35"/>
  <c r="F9" i="35"/>
  <c r="K81" i="47"/>
  <c r="J81" i="47"/>
  <c r="I81" i="47"/>
  <c r="H81" i="47"/>
  <c r="G81" i="47"/>
  <c r="F81" i="47"/>
  <c r="K80" i="47"/>
  <c r="J80" i="47"/>
  <c r="I80" i="47"/>
  <c r="H80" i="47"/>
  <c r="G80" i="47"/>
  <c r="F80" i="47"/>
  <c r="K79" i="47"/>
  <c r="J79" i="47"/>
  <c r="I79" i="47"/>
  <c r="H79" i="47"/>
  <c r="G79" i="47"/>
  <c r="F79" i="47"/>
  <c r="K78" i="47"/>
  <c r="J78" i="47"/>
  <c r="I78" i="47"/>
  <c r="H78" i="47"/>
  <c r="G78" i="47"/>
  <c r="F78" i="47"/>
  <c r="K77" i="47"/>
  <c r="J77" i="47"/>
  <c r="I77" i="47"/>
  <c r="H77" i="47"/>
  <c r="G77" i="47"/>
  <c r="F77" i="47"/>
  <c r="K76" i="47"/>
  <c r="J76" i="47"/>
  <c r="I76" i="47"/>
  <c r="H76" i="47"/>
  <c r="G76" i="47"/>
  <c r="F76" i="47"/>
  <c r="K75" i="47"/>
  <c r="J75" i="47"/>
  <c r="I75" i="47"/>
  <c r="H75" i="47"/>
  <c r="G75" i="47"/>
  <c r="F75" i="47"/>
  <c r="K74" i="47"/>
  <c r="J74" i="47"/>
  <c r="I74" i="47"/>
  <c r="H74" i="47"/>
  <c r="G74" i="47"/>
  <c r="F74" i="47"/>
  <c r="K73" i="47"/>
  <c r="J73" i="47"/>
  <c r="I73" i="47"/>
  <c r="H73" i="47"/>
  <c r="G73" i="47"/>
  <c r="F73" i="47"/>
  <c r="K72" i="47"/>
  <c r="J72" i="47"/>
  <c r="I72" i="47"/>
  <c r="I55" i="47" s="1"/>
  <c r="H72" i="47"/>
  <c r="G72" i="47"/>
  <c r="G54" i="47" s="1"/>
  <c r="F72" i="47"/>
  <c r="F55" i="47" s="1"/>
  <c r="K71" i="47"/>
  <c r="J71" i="47"/>
  <c r="J58" i="47" s="1"/>
  <c r="I71" i="47"/>
  <c r="H71" i="47"/>
  <c r="G71" i="47"/>
  <c r="F71" i="47"/>
  <c r="K70" i="47"/>
  <c r="J70" i="47"/>
  <c r="I70" i="47"/>
  <c r="H70" i="47"/>
  <c r="G70" i="47"/>
  <c r="G52" i="47" s="1"/>
  <c r="F70" i="47"/>
  <c r="K69" i="47"/>
  <c r="K61" i="47" s="1"/>
  <c r="J69" i="47"/>
  <c r="J59" i="47" s="1"/>
  <c r="I69" i="47"/>
  <c r="I61" i="47" s="1"/>
  <c r="H69" i="47"/>
  <c r="H61" i="47" s="1"/>
  <c r="G69" i="47"/>
  <c r="F69" i="47"/>
  <c r="K68" i="47"/>
  <c r="J68" i="47"/>
  <c r="I68" i="47"/>
  <c r="H68" i="47"/>
  <c r="G68" i="47"/>
  <c r="G58" i="47" s="1"/>
  <c r="F68" i="47"/>
  <c r="K67" i="47"/>
  <c r="K54" i="47" s="1"/>
  <c r="J67" i="47"/>
  <c r="J54" i="47" s="1"/>
  <c r="I67" i="47"/>
  <c r="H67" i="47"/>
  <c r="G67" i="47"/>
  <c r="F67" i="47"/>
  <c r="K66" i="47"/>
  <c r="K62" i="47" s="1"/>
  <c r="J66" i="47"/>
  <c r="J62" i="47" s="1"/>
  <c r="I66" i="47"/>
  <c r="I53" i="47" s="1"/>
  <c r="H66" i="47"/>
  <c r="H62" i="47" s="1"/>
  <c r="G66" i="47"/>
  <c r="G62" i="47" s="1"/>
  <c r="F66" i="47"/>
  <c r="F53" i="47" s="1"/>
  <c r="K65" i="47"/>
  <c r="K60" i="47" s="1"/>
  <c r="J65" i="47"/>
  <c r="J60" i="47" s="1"/>
  <c r="I65" i="47"/>
  <c r="I60" i="47" s="1"/>
  <c r="H65" i="47"/>
  <c r="H60" i="47" s="1"/>
  <c r="G65" i="47"/>
  <c r="F65" i="47"/>
  <c r="G61" i="47"/>
  <c r="F61" i="47"/>
  <c r="G60" i="47"/>
  <c r="F60" i="47"/>
  <c r="G59" i="47"/>
  <c r="K55" i="47"/>
  <c r="J55" i="47"/>
  <c r="H55" i="47"/>
  <c r="J53" i="47"/>
  <c r="K48" i="47"/>
  <c r="J48" i="47"/>
  <c r="I48" i="47"/>
  <c r="I41" i="47" s="1"/>
  <c r="H48" i="47"/>
  <c r="G48" i="47"/>
  <c r="G41" i="47" s="1"/>
  <c r="F48" i="47"/>
  <c r="K47" i="47"/>
  <c r="K41" i="47" s="1"/>
  <c r="J47" i="47"/>
  <c r="I47" i="47"/>
  <c r="H47" i="47"/>
  <c r="G47" i="47"/>
  <c r="F47" i="47"/>
  <c r="K46" i="47"/>
  <c r="J46" i="47"/>
  <c r="I46" i="47"/>
  <c r="H46" i="47"/>
  <c r="G46" i="47"/>
  <c r="F46" i="47"/>
  <c r="K45" i="47"/>
  <c r="J45" i="47"/>
  <c r="I45" i="47"/>
  <c r="H45" i="47"/>
  <c r="G45" i="47"/>
  <c r="F45" i="47"/>
  <c r="K44" i="47"/>
  <c r="J44" i="47"/>
  <c r="J37" i="47" s="1"/>
  <c r="I44" i="47"/>
  <c r="I39" i="47" s="1"/>
  <c r="H44" i="47"/>
  <c r="G44" i="47"/>
  <c r="G39" i="47" s="1"/>
  <c r="F44" i="47"/>
  <c r="K43" i="47"/>
  <c r="J43" i="47"/>
  <c r="I43" i="47"/>
  <c r="H43" i="47"/>
  <c r="G43" i="47"/>
  <c r="F43" i="47"/>
  <c r="F38" i="47" s="1"/>
  <c r="J41" i="47"/>
  <c r="J38" i="47"/>
  <c r="I38" i="47"/>
  <c r="G38" i="47"/>
  <c r="K33" i="47"/>
  <c r="J33" i="47"/>
  <c r="I33" i="47"/>
  <c r="H33" i="47"/>
  <c r="G33" i="47"/>
  <c r="F33" i="47"/>
  <c r="K32" i="47"/>
  <c r="J32" i="47"/>
  <c r="I32" i="47"/>
  <c r="H32" i="47"/>
  <c r="G32" i="47"/>
  <c r="F32" i="47"/>
  <c r="K31" i="47"/>
  <c r="J31" i="47"/>
  <c r="I31" i="47"/>
  <c r="H31" i="47"/>
  <c r="G31" i="47"/>
  <c r="F31" i="47"/>
  <c r="K30" i="47"/>
  <c r="J30" i="47"/>
  <c r="I30" i="47"/>
  <c r="H30" i="47"/>
  <c r="G30" i="47"/>
  <c r="G21" i="47" s="1"/>
  <c r="F30" i="47"/>
  <c r="F21" i="47" s="1"/>
  <c r="K29" i="47"/>
  <c r="J29" i="47"/>
  <c r="J20" i="47" s="1"/>
  <c r="I29" i="47"/>
  <c r="H29" i="47"/>
  <c r="G29" i="47"/>
  <c r="F29" i="47"/>
  <c r="K28" i="47"/>
  <c r="J28" i="47"/>
  <c r="I28" i="47"/>
  <c r="I19" i="47" s="1"/>
  <c r="H28" i="47"/>
  <c r="G28" i="47"/>
  <c r="G19" i="47" s="1"/>
  <c r="F28" i="47"/>
  <c r="F19" i="47" s="1"/>
  <c r="K27" i="47"/>
  <c r="J27" i="47"/>
  <c r="I27" i="47"/>
  <c r="H27" i="47"/>
  <c r="G27" i="47"/>
  <c r="F27" i="47"/>
  <c r="K15" i="47"/>
  <c r="J15" i="47"/>
  <c r="I15" i="47"/>
  <c r="H15" i="47"/>
  <c r="G15" i="47"/>
  <c r="F15" i="47"/>
  <c r="K14" i="47"/>
  <c r="J14" i="47"/>
  <c r="J5" i="47" s="1"/>
  <c r="I14" i="47"/>
  <c r="H14" i="47"/>
  <c r="G14" i="47"/>
  <c r="F14" i="47"/>
  <c r="K13" i="47"/>
  <c r="J13" i="47"/>
  <c r="I13" i="47"/>
  <c r="H13" i="47"/>
  <c r="G13" i="47"/>
  <c r="F13" i="47"/>
  <c r="K12" i="47"/>
  <c r="J12" i="47"/>
  <c r="I12" i="47"/>
  <c r="H12" i="47"/>
  <c r="G12" i="47"/>
  <c r="F12" i="47"/>
  <c r="K11" i="47"/>
  <c r="J11" i="47"/>
  <c r="I11" i="47"/>
  <c r="I7" i="47" s="1"/>
  <c r="H11" i="47"/>
  <c r="G11" i="47"/>
  <c r="F11" i="47"/>
  <c r="K10" i="47"/>
  <c r="J10" i="47"/>
  <c r="J4" i="47" s="1"/>
  <c r="I10" i="47"/>
  <c r="H10" i="47"/>
  <c r="G10" i="47"/>
  <c r="F10" i="47"/>
  <c r="K9" i="47"/>
  <c r="J9" i="47"/>
  <c r="I9" i="47"/>
  <c r="I5" i="47" s="1"/>
  <c r="H9" i="47"/>
  <c r="G9" i="47"/>
  <c r="G5" i="47" s="1"/>
  <c r="F9" i="47"/>
  <c r="H6" i="47"/>
  <c r="H5" i="47"/>
  <c r="H4" i="47"/>
  <c r="K81" i="22"/>
  <c r="J81" i="22"/>
  <c r="I81" i="22"/>
  <c r="H81" i="22"/>
  <c r="G81" i="22"/>
  <c r="F81" i="22"/>
  <c r="K80" i="22"/>
  <c r="J80" i="22"/>
  <c r="I80" i="22"/>
  <c r="H80" i="22"/>
  <c r="G80" i="22"/>
  <c r="F80" i="22"/>
  <c r="K79" i="22"/>
  <c r="J79" i="22"/>
  <c r="I79" i="22"/>
  <c r="H79" i="22"/>
  <c r="G79" i="22"/>
  <c r="F79" i="22"/>
  <c r="K78" i="22"/>
  <c r="J78" i="22"/>
  <c r="I78" i="22"/>
  <c r="H78" i="22"/>
  <c r="G78" i="22"/>
  <c r="F78" i="22"/>
  <c r="K77" i="22"/>
  <c r="J77" i="22"/>
  <c r="I77" i="22"/>
  <c r="H77" i="22"/>
  <c r="G77" i="22"/>
  <c r="F77" i="22"/>
  <c r="K76" i="22"/>
  <c r="J76" i="22"/>
  <c r="I76" i="22"/>
  <c r="H76" i="22"/>
  <c r="G76" i="22"/>
  <c r="F76" i="22"/>
  <c r="K75" i="22"/>
  <c r="J75" i="22"/>
  <c r="I75" i="22"/>
  <c r="H75" i="22"/>
  <c r="G75" i="22"/>
  <c r="F75" i="22"/>
  <c r="K74" i="22"/>
  <c r="J74" i="22"/>
  <c r="I74" i="22"/>
  <c r="H74" i="22"/>
  <c r="G74" i="22"/>
  <c r="F74" i="22"/>
  <c r="K73" i="22"/>
  <c r="K56" i="22" s="1"/>
  <c r="J73" i="22"/>
  <c r="J56" i="22" s="1"/>
  <c r="I73" i="22"/>
  <c r="I56" i="22" s="1"/>
  <c r="H73" i="22"/>
  <c r="G73" i="22"/>
  <c r="G56" i="22" s="1"/>
  <c r="F73" i="22"/>
  <c r="F56" i="22" s="1"/>
  <c r="K72" i="22"/>
  <c r="J72" i="22"/>
  <c r="I72" i="22"/>
  <c r="H72" i="22"/>
  <c r="G72" i="22"/>
  <c r="F72" i="22"/>
  <c r="F55" i="22" s="1"/>
  <c r="K71" i="22"/>
  <c r="J71" i="22"/>
  <c r="I71" i="22"/>
  <c r="H71" i="22"/>
  <c r="G71" i="22"/>
  <c r="F71" i="22"/>
  <c r="K70" i="22"/>
  <c r="J70" i="22"/>
  <c r="I70" i="22"/>
  <c r="H70" i="22"/>
  <c r="G70" i="22"/>
  <c r="F70" i="22"/>
  <c r="K69" i="22"/>
  <c r="J69" i="22"/>
  <c r="J61" i="22" s="1"/>
  <c r="I69" i="22"/>
  <c r="I61" i="22" s="1"/>
  <c r="H69" i="22"/>
  <c r="G69" i="22"/>
  <c r="G61" i="22" s="1"/>
  <c r="F69" i="22"/>
  <c r="F61" i="22" s="1"/>
  <c r="K68" i="22"/>
  <c r="J68" i="22"/>
  <c r="I68" i="22"/>
  <c r="H68" i="22"/>
  <c r="G68" i="22"/>
  <c r="F68" i="22"/>
  <c r="K67" i="22"/>
  <c r="J67" i="22"/>
  <c r="I67" i="22"/>
  <c r="I54" i="22" s="1"/>
  <c r="H67" i="22"/>
  <c r="G67" i="22"/>
  <c r="F67" i="22"/>
  <c r="K66" i="22"/>
  <c r="K62" i="22" s="1"/>
  <c r="J66" i="22"/>
  <c r="J62" i="22" s="1"/>
  <c r="I66" i="22"/>
  <c r="H66" i="22"/>
  <c r="H62" i="22" s="1"/>
  <c r="G66" i="22"/>
  <c r="G62" i="22" s="1"/>
  <c r="F66" i="22"/>
  <c r="F53" i="22" s="1"/>
  <c r="K65" i="22"/>
  <c r="J65" i="22"/>
  <c r="J60" i="22" s="1"/>
  <c r="I65" i="22"/>
  <c r="I63" i="22" s="1"/>
  <c r="H65" i="22"/>
  <c r="G65" i="22"/>
  <c r="G60" i="22" s="1"/>
  <c r="F65" i="22"/>
  <c r="F63" i="22" s="1"/>
  <c r="I62" i="22"/>
  <c r="H61" i="22"/>
  <c r="I60" i="22"/>
  <c r="H60" i="22"/>
  <c r="F60" i="22"/>
  <c r="I58" i="22"/>
  <c r="H56" i="22"/>
  <c r="K55" i="22"/>
  <c r="J55" i="22"/>
  <c r="I55" i="22"/>
  <c r="I53" i="22"/>
  <c r="K48" i="22"/>
  <c r="J48" i="22"/>
  <c r="I48" i="22"/>
  <c r="H48" i="22"/>
  <c r="H41" i="22" s="1"/>
  <c r="G48" i="22"/>
  <c r="G41" i="22" s="1"/>
  <c r="F48" i="22"/>
  <c r="K47" i="22"/>
  <c r="K41" i="22" s="1"/>
  <c r="J47" i="22"/>
  <c r="I47" i="22"/>
  <c r="H47" i="22"/>
  <c r="G47" i="22"/>
  <c r="F47" i="22"/>
  <c r="K46" i="22"/>
  <c r="J46" i="22"/>
  <c r="I46" i="22"/>
  <c r="H46" i="22"/>
  <c r="G46" i="22"/>
  <c r="F46" i="22"/>
  <c r="K45" i="22"/>
  <c r="J45" i="22"/>
  <c r="I45" i="22"/>
  <c r="H45" i="22"/>
  <c r="G45" i="22"/>
  <c r="F45" i="22"/>
  <c r="K44" i="22"/>
  <c r="J44" i="22"/>
  <c r="I44" i="22"/>
  <c r="H44" i="22"/>
  <c r="H39" i="22" s="1"/>
  <c r="G44" i="22"/>
  <c r="G37" i="22" s="1"/>
  <c r="F44" i="22"/>
  <c r="K43" i="22"/>
  <c r="K38" i="22" s="1"/>
  <c r="J43" i="22"/>
  <c r="I43" i="22"/>
  <c r="I37" i="22" s="1"/>
  <c r="H43" i="22"/>
  <c r="H38" i="22" s="1"/>
  <c r="G43" i="22"/>
  <c r="G38" i="22" s="1"/>
  <c r="F43" i="22"/>
  <c r="F38" i="22" s="1"/>
  <c r="I40" i="22"/>
  <c r="G39" i="22"/>
  <c r="H37" i="22"/>
  <c r="K33" i="22"/>
  <c r="J33" i="22"/>
  <c r="I33" i="22"/>
  <c r="H33" i="22"/>
  <c r="G33" i="22"/>
  <c r="F33" i="22"/>
  <c r="K32" i="22"/>
  <c r="J32" i="22"/>
  <c r="I32" i="22"/>
  <c r="H32" i="22"/>
  <c r="G32" i="22"/>
  <c r="F32" i="22"/>
  <c r="K31" i="22"/>
  <c r="J31" i="22"/>
  <c r="I31" i="22"/>
  <c r="H31" i="22"/>
  <c r="G31" i="22"/>
  <c r="F31" i="22"/>
  <c r="K30" i="22"/>
  <c r="J30" i="22"/>
  <c r="I30" i="22"/>
  <c r="H30" i="22"/>
  <c r="H21" i="22" s="1"/>
  <c r="G30" i="22"/>
  <c r="F30" i="22"/>
  <c r="F21" i="22" s="1"/>
  <c r="K29" i="22"/>
  <c r="J29" i="22"/>
  <c r="J20" i="22" s="1"/>
  <c r="I29" i="22"/>
  <c r="I20" i="22" s="1"/>
  <c r="H29" i="22"/>
  <c r="G29" i="22"/>
  <c r="F29" i="22"/>
  <c r="K28" i="22"/>
  <c r="J28" i="22"/>
  <c r="I28" i="22"/>
  <c r="H28" i="22"/>
  <c r="H19" i="22" s="1"/>
  <c r="G28" i="22"/>
  <c r="F28" i="22"/>
  <c r="F19" i="22" s="1"/>
  <c r="K27" i="22"/>
  <c r="J27" i="22"/>
  <c r="I27" i="22"/>
  <c r="H27" i="22"/>
  <c r="G27" i="22"/>
  <c r="F27" i="22"/>
  <c r="K15" i="22"/>
  <c r="J15" i="22"/>
  <c r="I15" i="22"/>
  <c r="H15" i="22"/>
  <c r="G15" i="22"/>
  <c r="F15" i="22"/>
  <c r="K14" i="22"/>
  <c r="J14" i="22"/>
  <c r="I14" i="22"/>
  <c r="H14" i="22"/>
  <c r="G14" i="22"/>
  <c r="F14" i="22"/>
  <c r="K13" i="22"/>
  <c r="J13" i="22"/>
  <c r="I13" i="22"/>
  <c r="H13" i="22"/>
  <c r="G13" i="22"/>
  <c r="F13" i="22"/>
  <c r="K12" i="22"/>
  <c r="J12" i="22"/>
  <c r="I12" i="22"/>
  <c r="H12" i="22"/>
  <c r="G12" i="22"/>
  <c r="F12" i="22"/>
  <c r="K11" i="22"/>
  <c r="J11" i="22"/>
  <c r="I11" i="22"/>
  <c r="H11" i="22"/>
  <c r="H7" i="22" s="1"/>
  <c r="G11" i="22"/>
  <c r="F11" i="22"/>
  <c r="K10" i="22"/>
  <c r="J10" i="22"/>
  <c r="I10" i="22"/>
  <c r="H10" i="22"/>
  <c r="G10" i="22"/>
  <c r="F10" i="22"/>
  <c r="K9" i="22"/>
  <c r="J9" i="22"/>
  <c r="I9" i="22"/>
  <c r="H9" i="22"/>
  <c r="H5" i="22" s="1"/>
  <c r="G9" i="22"/>
  <c r="F9" i="22"/>
  <c r="K81" i="31"/>
  <c r="J81" i="31"/>
  <c r="I81" i="31"/>
  <c r="H81" i="31"/>
  <c r="G81" i="31"/>
  <c r="F81" i="31"/>
  <c r="K80" i="31"/>
  <c r="J80" i="31"/>
  <c r="I80" i="31"/>
  <c r="H80" i="31"/>
  <c r="G80" i="31"/>
  <c r="F80" i="31"/>
  <c r="K79" i="31"/>
  <c r="J79" i="31"/>
  <c r="I79" i="31"/>
  <c r="H79" i="31"/>
  <c r="G79" i="31"/>
  <c r="F79" i="31"/>
  <c r="K78" i="31"/>
  <c r="J78" i="31"/>
  <c r="I78" i="31"/>
  <c r="H78" i="31"/>
  <c r="G78" i="31"/>
  <c r="F78" i="31"/>
  <c r="K77" i="31"/>
  <c r="J77" i="31"/>
  <c r="I77" i="31"/>
  <c r="H77" i="31"/>
  <c r="G77" i="31"/>
  <c r="F77" i="31"/>
  <c r="K76" i="31"/>
  <c r="J76" i="31"/>
  <c r="I76" i="31"/>
  <c r="H76" i="31"/>
  <c r="G76" i="31"/>
  <c r="F76" i="31"/>
  <c r="K75" i="31"/>
  <c r="J75" i="31"/>
  <c r="I75" i="31"/>
  <c r="H75" i="31"/>
  <c r="G75" i="31"/>
  <c r="F75" i="31"/>
  <c r="K74" i="31"/>
  <c r="K57" i="31" s="1"/>
  <c r="J74" i="31"/>
  <c r="I74" i="31"/>
  <c r="H74" i="31"/>
  <c r="H57" i="31" s="1"/>
  <c r="G74" i="31"/>
  <c r="F74" i="31"/>
  <c r="K73" i="31"/>
  <c r="J73" i="31"/>
  <c r="I73" i="31"/>
  <c r="I56" i="31" s="1"/>
  <c r="H73" i="31"/>
  <c r="H56" i="31" s="1"/>
  <c r="G73" i="31"/>
  <c r="F73" i="31"/>
  <c r="F56" i="31" s="1"/>
  <c r="K72" i="31"/>
  <c r="K55" i="31" s="1"/>
  <c r="J72" i="31"/>
  <c r="I72" i="31"/>
  <c r="H72" i="31"/>
  <c r="G72" i="31"/>
  <c r="F72" i="31"/>
  <c r="K71" i="31"/>
  <c r="J71" i="31"/>
  <c r="I71" i="31"/>
  <c r="I58" i="31" s="1"/>
  <c r="H71" i="31"/>
  <c r="G71" i="31"/>
  <c r="F71" i="31"/>
  <c r="K70" i="31"/>
  <c r="J70" i="31"/>
  <c r="I70" i="31"/>
  <c r="H70" i="31"/>
  <c r="H59" i="31" s="1"/>
  <c r="G70" i="31"/>
  <c r="F70" i="31"/>
  <c r="K69" i="31"/>
  <c r="J69" i="31"/>
  <c r="J59" i="31" s="1"/>
  <c r="I69" i="31"/>
  <c r="I61" i="31" s="1"/>
  <c r="H69" i="31"/>
  <c r="H61" i="31" s="1"/>
  <c r="G69" i="31"/>
  <c r="G61" i="31" s="1"/>
  <c r="F69" i="31"/>
  <c r="F61" i="31" s="1"/>
  <c r="K68" i="31"/>
  <c r="J68" i="31"/>
  <c r="I68" i="31"/>
  <c r="H68" i="31"/>
  <c r="H58" i="31" s="1"/>
  <c r="G68" i="31"/>
  <c r="F68" i="31"/>
  <c r="K67" i="31"/>
  <c r="J67" i="31"/>
  <c r="I67" i="31"/>
  <c r="I54" i="31" s="1"/>
  <c r="H67" i="31"/>
  <c r="G67" i="31"/>
  <c r="F67" i="31"/>
  <c r="K66" i="31"/>
  <c r="K62" i="31" s="1"/>
  <c r="J66" i="31"/>
  <c r="J62" i="31" s="1"/>
  <c r="I66" i="31"/>
  <c r="H66" i="31"/>
  <c r="H62" i="31" s="1"/>
  <c r="G66" i="31"/>
  <c r="G62" i="31" s="1"/>
  <c r="F66" i="31"/>
  <c r="F53" i="31" s="1"/>
  <c r="K65" i="31"/>
  <c r="J65" i="31"/>
  <c r="J63" i="31" s="1"/>
  <c r="I65" i="31"/>
  <c r="I63" i="31" s="1"/>
  <c r="H65" i="31"/>
  <c r="H63" i="31" s="1"/>
  <c r="G65" i="31"/>
  <c r="G63" i="31" s="1"/>
  <c r="F65" i="31"/>
  <c r="F60" i="31" s="1"/>
  <c r="K63" i="31"/>
  <c r="I62" i="31"/>
  <c r="K61" i="31"/>
  <c r="K60" i="31"/>
  <c r="G60" i="31"/>
  <c r="K59" i="31"/>
  <c r="J57" i="31"/>
  <c r="I57" i="31"/>
  <c r="G57" i="31"/>
  <c r="K56" i="31"/>
  <c r="G56" i="31"/>
  <c r="J55" i="31"/>
  <c r="I55" i="31"/>
  <c r="H55" i="31"/>
  <c r="G55" i="31"/>
  <c r="J53" i="31"/>
  <c r="I53" i="31"/>
  <c r="K52" i="31"/>
  <c r="K48" i="31"/>
  <c r="J48" i="31"/>
  <c r="I48" i="31"/>
  <c r="H48" i="31"/>
  <c r="G48" i="31"/>
  <c r="F48" i="31"/>
  <c r="K47" i="31"/>
  <c r="J47" i="31"/>
  <c r="I47" i="31"/>
  <c r="H47" i="31"/>
  <c r="G47" i="31"/>
  <c r="F47" i="31"/>
  <c r="K46" i="31"/>
  <c r="J46" i="31"/>
  <c r="I46" i="31"/>
  <c r="H46" i="31"/>
  <c r="G46" i="31"/>
  <c r="F46" i="31"/>
  <c r="K45" i="31"/>
  <c r="K39" i="31" s="1"/>
  <c r="J45" i="31"/>
  <c r="I45" i="31"/>
  <c r="H45" i="31"/>
  <c r="G45" i="31"/>
  <c r="F45" i="31"/>
  <c r="K44" i="31"/>
  <c r="J44" i="31"/>
  <c r="I44" i="31"/>
  <c r="I39" i="31" s="1"/>
  <c r="H44" i="31"/>
  <c r="G44" i="31"/>
  <c r="F44" i="31"/>
  <c r="K43" i="31"/>
  <c r="K37" i="31" s="1"/>
  <c r="J43" i="31"/>
  <c r="I43" i="31"/>
  <c r="I37" i="31" s="1"/>
  <c r="H43" i="31"/>
  <c r="H38" i="31" s="1"/>
  <c r="G43" i="31"/>
  <c r="F43" i="31"/>
  <c r="F38" i="31" s="1"/>
  <c r="J38" i="31"/>
  <c r="G38" i="31"/>
  <c r="K33" i="31"/>
  <c r="J33" i="31"/>
  <c r="I33" i="31"/>
  <c r="H33" i="31"/>
  <c r="G33" i="31"/>
  <c r="F33" i="31"/>
  <c r="K32" i="31"/>
  <c r="J32" i="31"/>
  <c r="I32" i="31"/>
  <c r="H32" i="31"/>
  <c r="G32" i="31"/>
  <c r="F32" i="31"/>
  <c r="K31" i="31"/>
  <c r="J31" i="31"/>
  <c r="I31" i="31"/>
  <c r="H31" i="31"/>
  <c r="G31" i="31"/>
  <c r="F31" i="31"/>
  <c r="K30" i="31"/>
  <c r="J30" i="31"/>
  <c r="I30" i="31"/>
  <c r="H30" i="31"/>
  <c r="H21" i="31" s="1"/>
  <c r="G30" i="31"/>
  <c r="F30" i="31"/>
  <c r="F21" i="31" s="1"/>
  <c r="K29" i="31"/>
  <c r="J29" i="31"/>
  <c r="J20" i="31" s="1"/>
  <c r="I29" i="31"/>
  <c r="H29" i="31"/>
  <c r="G29" i="31"/>
  <c r="F29" i="31"/>
  <c r="K28" i="31"/>
  <c r="J28" i="31"/>
  <c r="I28" i="31"/>
  <c r="H28" i="31"/>
  <c r="H19" i="31" s="1"/>
  <c r="G28" i="31"/>
  <c r="F28" i="31"/>
  <c r="F19" i="31" s="1"/>
  <c r="K27" i="31"/>
  <c r="J27" i="31"/>
  <c r="I27" i="31"/>
  <c r="H27" i="31"/>
  <c r="G27" i="31"/>
  <c r="F27" i="31"/>
  <c r="K15" i="31"/>
  <c r="J15" i="31"/>
  <c r="I15" i="31"/>
  <c r="H15" i="31"/>
  <c r="G15" i="31"/>
  <c r="F15" i="31"/>
  <c r="K14" i="31"/>
  <c r="J14" i="31"/>
  <c r="I14" i="31"/>
  <c r="I5" i="31" s="1"/>
  <c r="H14" i="31"/>
  <c r="G14" i="31"/>
  <c r="F14" i="31"/>
  <c r="K13" i="31"/>
  <c r="J13" i="31"/>
  <c r="I13" i="31"/>
  <c r="H13" i="31"/>
  <c r="G13" i="31"/>
  <c r="F13" i="31"/>
  <c r="K12" i="31"/>
  <c r="J12" i="31"/>
  <c r="I12" i="31"/>
  <c r="H12" i="31"/>
  <c r="G12" i="31"/>
  <c r="F12" i="31"/>
  <c r="K11" i="31"/>
  <c r="J11" i="31"/>
  <c r="I11" i="31"/>
  <c r="H11" i="31"/>
  <c r="G11" i="31"/>
  <c r="F11" i="31"/>
  <c r="K10" i="31"/>
  <c r="K5" i="31" s="1"/>
  <c r="J10" i="31"/>
  <c r="I10" i="31"/>
  <c r="H10" i="31"/>
  <c r="G10" i="31"/>
  <c r="F10" i="31"/>
  <c r="K9" i="31"/>
  <c r="J9" i="31"/>
  <c r="I9" i="31"/>
  <c r="H9" i="31"/>
  <c r="G9" i="31"/>
  <c r="F9" i="31"/>
  <c r="F5" i="31" s="1"/>
  <c r="H5" i="31"/>
  <c r="K81" i="30"/>
  <c r="J81" i="30"/>
  <c r="I81" i="30"/>
  <c r="H81" i="30"/>
  <c r="G81" i="30"/>
  <c r="F81" i="30"/>
  <c r="K80" i="30"/>
  <c r="J80" i="30"/>
  <c r="I80" i="30"/>
  <c r="H80" i="30"/>
  <c r="H63" i="30" s="1"/>
  <c r="G80" i="30"/>
  <c r="F80" i="30"/>
  <c r="K79" i="30"/>
  <c r="J79" i="30"/>
  <c r="I79" i="30"/>
  <c r="H79" i="30"/>
  <c r="G79" i="30"/>
  <c r="F79" i="30"/>
  <c r="K78" i="30"/>
  <c r="J78" i="30"/>
  <c r="I78" i="30"/>
  <c r="H78" i="30"/>
  <c r="G78" i="30"/>
  <c r="F78" i="30"/>
  <c r="K77" i="30"/>
  <c r="J77" i="30"/>
  <c r="I77" i="30"/>
  <c r="H77" i="30"/>
  <c r="G77" i="30"/>
  <c r="F77" i="30"/>
  <c r="K76" i="30"/>
  <c r="J76" i="30"/>
  <c r="I76" i="30"/>
  <c r="H76" i="30"/>
  <c r="G76" i="30"/>
  <c r="F76" i="30"/>
  <c r="K75" i="30"/>
  <c r="J75" i="30"/>
  <c r="I75" i="30"/>
  <c r="H75" i="30"/>
  <c r="G75" i="30"/>
  <c r="F75" i="30"/>
  <c r="K74" i="30"/>
  <c r="J74" i="30"/>
  <c r="I74" i="30"/>
  <c r="H74" i="30"/>
  <c r="G74" i="30"/>
  <c r="F74" i="30"/>
  <c r="K73" i="30"/>
  <c r="J73" i="30"/>
  <c r="I73" i="30"/>
  <c r="H73" i="30"/>
  <c r="G73" i="30"/>
  <c r="F73" i="30"/>
  <c r="K72" i="30"/>
  <c r="J72" i="30"/>
  <c r="J54" i="30" s="1"/>
  <c r="I72" i="30"/>
  <c r="I55" i="30" s="1"/>
  <c r="H72" i="30"/>
  <c r="H55" i="30" s="1"/>
  <c r="G72" i="30"/>
  <c r="G55" i="30" s="1"/>
  <c r="F72" i="30"/>
  <c r="K71" i="30"/>
  <c r="J71" i="30"/>
  <c r="I71" i="30"/>
  <c r="H71" i="30"/>
  <c r="G71" i="30"/>
  <c r="F71" i="30"/>
  <c r="K70" i="30"/>
  <c r="J70" i="30"/>
  <c r="J59" i="30" s="1"/>
  <c r="I70" i="30"/>
  <c r="I59" i="30" s="1"/>
  <c r="H70" i="30"/>
  <c r="H52" i="30" s="1"/>
  <c r="G70" i="30"/>
  <c r="G59" i="30" s="1"/>
  <c r="F70" i="30"/>
  <c r="K69" i="30"/>
  <c r="J69" i="30"/>
  <c r="I69" i="30"/>
  <c r="H69" i="30"/>
  <c r="G69" i="30"/>
  <c r="F69" i="30"/>
  <c r="F61" i="30" s="1"/>
  <c r="K68" i="30"/>
  <c r="J68" i="30"/>
  <c r="I68" i="30"/>
  <c r="H68" i="30"/>
  <c r="H58" i="30" s="1"/>
  <c r="G68" i="30"/>
  <c r="F68" i="30"/>
  <c r="K67" i="30"/>
  <c r="K54" i="30" s="1"/>
  <c r="J67" i="30"/>
  <c r="I67" i="30"/>
  <c r="H67" i="30"/>
  <c r="G67" i="30"/>
  <c r="F67" i="30"/>
  <c r="K66" i="30"/>
  <c r="K62" i="30" s="1"/>
  <c r="J66" i="30"/>
  <c r="J62" i="30" s="1"/>
  <c r="I66" i="30"/>
  <c r="I62" i="30" s="1"/>
  <c r="H66" i="30"/>
  <c r="H62" i="30" s="1"/>
  <c r="G66" i="30"/>
  <c r="G62" i="30" s="1"/>
  <c r="F66" i="30"/>
  <c r="K65" i="30"/>
  <c r="K52" i="30" s="1"/>
  <c r="J65" i="30"/>
  <c r="I65" i="30"/>
  <c r="H65" i="30"/>
  <c r="G65" i="30"/>
  <c r="F65" i="30"/>
  <c r="F63" i="30" s="1"/>
  <c r="K61" i="30"/>
  <c r="J61" i="30"/>
  <c r="I61" i="30"/>
  <c r="H61" i="30"/>
  <c r="G61" i="30"/>
  <c r="J60" i="30"/>
  <c r="H60" i="30"/>
  <c r="K59" i="30"/>
  <c r="J56" i="30"/>
  <c r="I56" i="30"/>
  <c r="H56" i="30"/>
  <c r="G56" i="30"/>
  <c r="F56" i="30"/>
  <c r="K55" i="30"/>
  <c r="F55" i="30"/>
  <c r="K53" i="30"/>
  <c r="F53" i="30"/>
  <c r="K48" i="30"/>
  <c r="J48" i="30"/>
  <c r="I48" i="30"/>
  <c r="H48" i="30"/>
  <c r="G48" i="30"/>
  <c r="F48" i="30"/>
  <c r="K47" i="30"/>
  <c r="J47" i="30"/>
  <c r="I47" i="30"/>
  <c r="H47" i="30"/>
  <c r="G47" i="30"/>
  <c r="F47" i="30"/>
  <c r="K46" i="30"/>
  <c r="J46" i="30"/>
  <c r="I46" i="30"/>
  <c r="H46" i="30"/>
  <c r="G46" i="30"/>
  <c r="F46" i="30"/>
  <c r="K45" i="30"/>
  <c r="J45" i="30"/>
  <c r="I45" i="30"/>
  <c r="H45" i="30"/>
  <c r="G45" i="30"/>
  <c r="F45" i="30"/>
  <c r="K44" i="30"/>
  <c r="J44" i="30"/>
  <c r="J39" i="30" s="1"/>
  <c r="I44" i="30"/>
  <c r="H44" i="30"/>
  <c r="G44" i="30"/>
  <c r="G39" i="30" s="1"/>
  <c r="F44" i="30"/>
  <c r="K43" i="30"/>
  <c r="K38" i="30" s="1"/>
  <c r="J43" i="30"/>
  <c r="I43" i="30"/>
  <c r="I38" i="30" s="1"/>
  <c r="H43" i="30"/>
  <c r="H38" i="30" s="1"/>
  <c r="G43" i="30"/>
  <c r="G38" i="30" s="1"/>
  <c r="F43" i="30"/>
  <c r="F38" i="30" s="1"/>
  <c r="J41" i="30"/>
  <c r="H41" i="30"/>
  <c r="J38" i="30"/>
  <c r="I37" i="30"/>
  <c r="K33" i="30"/>
  <c r="J33" i="30"/>
  <c r="I33" i="30"/>
  <c r="H33" i="30"/>
  <c r="G33" i="30"/>
  <c r="F33" i="30"/>
  <c r="K32" i="30"/>
  <c r="J32" i="30"/>
  <c r="I32" i="30"/>
  <c r="H32" i="30"/>
  <c r="G32" i="30"/>
  <c r="F32" i="30"/>
  <c r="K31" i="30"/>
  <c r="J31" i="30"/>
  <c r="I31" i="30"/>
  <c r="H31" i="30"/>
  <c r="G31" i="30"/>
  <c r="F31" i="30"/>
  <c r="K30" i="30"/>
  <c r="J30" i="30"/>
  <c r="I30" i="30"/>
  <c r="H30" i="30"/>
  <c r="G30" i="30"/>
  <c r="F30" i="30"/>
  <c r="K29" i="30"/>
  <c r="J29" i="30"/>
  <c r="J20" i="30" s="1"/>
  <c r="I29" i="30"/>
  <c r="H29" i="30"/>
  <c r="G29" i="30"/>
  <c r="F29" i="30"/>
  <c r="K28" i="30"/>
  <c r="J28" i="30"/>
  <c r="I28" i="30"/>
  <c r="H28" i="30"/>
  <c r="G28" i="30"/>
  <c r="F28" i="30"/>
  <c r="F19" i="30" s="1"/>
  <c r="K27" i="30"/>
  <c r="J27" i="30"/>
  <c r="I27" i="30"/>
  <c r="H27" i="30"/>
  <c r="G27" i="30"/>
  <c r="F27" i="30"/>
  <c r="K15" i="30"/>
  <c r="J15" i="30"/>
  <c r="I15" i="30"/>
  <c r="H15" i="30"/>
  <c r="G15" i="30"/>
  <c r="F15" i="30"/>
  <c r="K14" i="30"/>
  <c r="J14" i="30"/>
  <c r="I14" i="30"/>
  <c r="I6" i="30" s="1"/>
  <c r="H14" i="30"/>
  <c r="G14" i="30"/>
  <c r="F14" i="30"/>
  <c r="K13" i="30"/>
  <c r="J13" i="30"/>
  <c r="I13" i="30"/>
  <c r="H13" i="30"/>
  <c r="G13" i="30"/>
  <c r="F13" i="30"/>
  <c r="K12" i="30"/>
  <c r="J12" i="30"/>
  <c r="I12" i="30"/>
  <c r="H12" i="30"/>
  <c r="G12" i="30"/>
  <c r="F12" i="30"/>
  <c r="K11" i="30"/>
  <c r="J11" i="30"/>
  <c r="I11" i="30"/>
  <c r="H11" i="30"/>
  <c r="G11" i="30"/>
  <c r="F11" i="30"/>
  <c r="K10" i="30"/>
  <c r="J10" i="30"/>
  <c r="J4" i="30" s="1"/>
  <c r="I10" i="30"/>
  <c r="H10" i="30"/>
  <c r="G10" i="30"/>
  <c r="F10" i="30"/>
  <c r="F4" i="30" s="1"/>
  <c r="K9" i="30"/>
  <c r="J9" i="30"/>
  <c r="I9" i="30"/>
  <c r="H9" i="30"/>
  <c r="G9" i="30"/>
  <c r="F9" i="30"/>
  <c r="K7" i="30"/>
  <c r="H7" i="30"/>
  <c r="H5" i="30"/>
  <c r="K81" i="3"/>
  <c r="J81" i="3"/>
  <c r="I81" i="3"/>
  <c r="H81" i="3"/>
  <c r="G81" i="3"/>
  <c r="F81" i="3"/>
  <c r="K80" i="3"/>
  <c r="J80" i="3"/>
  <c r="I80" i="3"/>
  <c r="H80" i="3"/>
  <c r="G80" i="3"/>
  <c r="G63" i="3" s="1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I57" i="3" s="1"/>
  <c r="H74" i="3"/>
  <c r="H57" i="3" s="1"/>
  <c r="G74" i="3"/>
  <c r="G57" i="3" s="1"/>
  <c r="F74" i="3"/>
  <c r="F57" i="3" s="1"/>
  <c r="K73" i="3"/>
  <c r="J73" i="3"/>
  <c r="I73" i="3"/>
  <c r="H73" i="3"/>
  <c r="H56" i="3" s="1"/>
  <c r="G73" i="3"/>
  <c r="F73" i="3"/>
  <c r="K72" i="3"/>
  <c r="J72" i="3"/>
  <c r="I72" i="3"/>
  <c r="I55" i="3" s="1"/>
  <c r="H72" i="3"/>
  <c r="G72" i="3"/>
  <c r="G54" i="3" s="1"/>
  <c r="F72" i="3"/>
  <c r="F55" i="3" s="1"/>
  <c r="K71" i="3"/>
  <c r="J71" i="3"/>
  <c r="I71" i="3"/>
  <c r="H71" i="3"/>
  <c r="G71" i="3"/>
  <c r="F71" i="3"/>
  <c r="K70" i="3"/>
  <c r="K59" i="3" s="1"/>
  <c r="J70" i="3"/>
  <c r="I70" i="3"/>
  <c r="I59" i="3" s="1"/>
  <c r="H70" i="3"/>
  <c r="G70" i="3"/>
  <c r="G52" i="3" s="1"/>
  <c r="F70" i="3"/>
  <c r="F52" i="3" s="1"/>
  <c r="K69" i="3"/>
  <c r="J69" i="3"/>
  <c r="I69" i="3"/>
  <c r="H69" i="3"/>
  <c r="H61" i="3" s="1"/>
  <c r="G69" i="3"/>
  <c r="F69" i="3"/>
  <c r="K68" i="3"/>
  <c r="K58" i="3" s="1"/>
  <c r="J68" i="3"/>
  <c r="J58" i="3" s="1"/>
  <c r="I68" i="3"/>
  <c r="I58" i="3" s="1"/>
  <c r="H68" i="3"/>
  <c r="G68" i="3"/>
  <c r="F68" i="3"/>
  <c r="F58" i="3" s="1"/>
  <c r="K67" i="3"/>
  <c r="J67" i="3"/>
  <c r="I67" i="3"/>
  <c r="H67" i="3"/>
  <c r="G67" i="3"/>
  <c r="F67" i="3"/>
  <c r="K66" i="3"/>
  <c r="K62" i="3" s="1"/>
  <c r="J66" i="3"/>
  <c r="J62" i="3" s="1"/>
  <c r="I66" i="3"/>
  <c r="I62" i="3" s="1"/>
  <c r="H66" i="3"/>
  <c r="H62" i="3" s="1"/>
  <c r="G66" i="3"/>
  <c r="F66" i="3"/>
  <c r="F53" i="3" s="1"/>
  <c r="K65" i="3"/>
  <c r="J65" i="3"/>
  <c r="I65" i="3"/>
  <c r="H65" i="3"/>
  <c r="H63" i="3" s="1"/>
  <c r="G65" i="3"/>
  <c r="F65" i="3"/>
  <c r="K63" i="3"/>
  <c r="J63" i="3"/>
  <c r="I63" i="3"/>
  <c r="K61" i="3"/>
  <c r="J61" i="3"/>
  <c r="I61" i="3"/>
  <c r="G61" i="3"/>
  <c r="F61" i="3"/>
  <c r="K60" i="3"/>
  <c r="J60" i="3"/>
  <c r="I60" i="3"/>
  <c r="G60" i="3"/>
  <c r="F60" i="3"/>
  <c r="K57" i="3"/>
  <c r="J57" i="3"/>
  <c r="K56" i="3"/>
  <c r="J56" i="3"/>
  <c r="I56" i="3"/>
  <c r="G56" i="3"/>
  <c r="F56" i="3"/>
  <c r="H55" i="3"/>
  <c r="K48" i="3"/>
  <c r="J48" i="3"/>
  <c r="I48" i="3"/>
  <c r="I41" i="3" s="1"/>
  <c r="H48" i="3"/>
  <c r="H41" i="3" s="1"/>
  <c r="G48" i="3"/>
  <c r="F48" i="3"/>
  <c r="K47" i="3"/>
  <c r="J47" i="3"/>
  <c r="J41" i="3" s="1"/>
  <c r="I47" i="3"/>
  <c r="H47" i="3"/>
  <c r="G47" i="3"/>
  <c r="F47" i="3"/>
  <c r="F41" i="3" s="1"/>
  <c r="K46" i="3"/>
  <c r="J46" i="3"/>
  <c r="I46" i="3"/>
  <c r="H46" i="3"/>
  <c r="G46" i="3"/>
  <c r="F46" i="3"/>
  <c r="K45" i="3"/>
  <c r="J45" i="3"/>
  <c r="I45" i="3"/>
  <c r="H45" i="3"/>
  <c r="G45" i="3"/>
  <c r="F45" i="3"/>
  <c r="F39" i="3" s="1"/>
  <c r="K44" i="3"/>
  <c r="J44" i="3"/>
  <c r="I44" i="3"/>
  <c r="I39" i="3" s="1"/>
  <c r="H44" i="3"/>
  <c r="G44" i="3"/>
  <c r="F44" i="3"/>
  <c r="K43" i="3"/>
  <c r="K38" i="3" s="1"/>
  <c r="J43" i="3"/>
  <c r="J38" i="3" s="1"/>
  <c r="I43" i="3"/>
  <c r="H43" i="3"/>
  <c r="H38" i="3" s="1"/>
  <c r="G43" i="3"/>
  <c r="G38" i="3" s="1"/>
  <c r="F43" i="3"/>
  <c r="F38" i="3" s="1"/>
  <c r="J40" i="3"/>
  <c r="I38" i="3"/>
  <c r="K33" i="3"/>
  <c r="J33" i="3"/>
  <c r="I33" i="3"/>
  <c r="H33" i="3"/>
  <c r="G33" i="3"/>
  <c r="F33" i="3"/>
  <c r="K32" i="3"/>
  <c r="J32" i="3"/>
  <c r="I32" i="3"/>
  <c r="H32" i="3"/>
  <c r="G32" i="3"/>
  <c r="F32" i="3"/>
  <c r="K31" i="3"/>
  <c r="J31" i="3"/>
  <c r="I31" i="3"/>
  <c r="H31" i="3"/>
  <c r="G31" i="3"/>
  <c r="F31" i="3"/>
  <c r="K30" i="3"/>
  <c r="J30" i="3"/>
  <c r="J21" i="3" s="1"/>
  <c r="I30" i="3"/>
  <c r="H30" i="3"/>
  <c r="G30" i="3"/>
  <c r="G21" i="3" s="1"/>
  <c r="F30" i="3"/>
  <c r="F21" i="3" s="1"/>
  <c r="K29" i="3"/>
  <c r="J29" i="3"/>
  <c r="I29" i="3"/>
  <c r="H29" i="3"/>
  <c r="G29" i="3"/>
  <c r="F29" i="3"/>
  <c r="K28" i="3"/>
  <c r="J28" i="3"/>
  <c r="J19" i="3" s="1"/>
  <c r="I28" i="3"/>
  <c r="H28" i="3"/>
  <c r="G28" i="3"/>
  <c r="G19" i="3" s="1"/>
  <c r="F28" i="3"/>
  <c r="F19" i="3" s="1"/>
  <c r="K27" i="3"/>
  <c r="J27" i="3"/>
  <c r="I27" i="3"/>
  <c r="H27" i="3"/>
  <c r="G27" i="3"/>
  <c r="F27" i="3"/>
  <c r="K15" i="3"/>
  <c r="J15" i="3"/>
  <c r="I15" i="3"/>
  <c r="H15" i="3"/>
  <c r="G15" i="3"/>
  <c r="F15" i="3"/>
  <c r="K14" i="3"/>
  <c r="J14" i="3"/>
  <c r="I14" i="3"/>
  <c r="H14" i="3"/>
  <c r="G14" i="3"/>
  <c r="F14" i="3"/>
  <c r="K13" i="3"/>
  <c r="J13" i="3"/>
  <c r="I13" i="3"/>
  <c r="H13" i="3"/>
  <c r="G13" i="3"/>
  <c r="F13" i="3"/>
  <c r="K12" i="3"/>
  <c r="J12" i="3"/>
  <c r="I12" i="3"/>
  <c r="H12" i="3"/>
  <c r="G12" i="3"/>
  <c r="F12" i="3"/>
  <c r="K11" i="3"/>
  <c r="J11" i="3"/>
  <c r="J7" i="3" s="1"/>
  <c r="I11" i="3"/>
  <c r="H11" i="3"/>
  <c r="G11" i="3"/>
  <c r="F11" i="3"/>
  <c r="F7" i="3" s="1"/>
  <c r="K10" i="3"/>
  <c r="J10" i="3"/>
  <c r="I10" i="3"/>
  <c r="H10" i="3"/>
  <c r="G10" i="3"/>
  <c r="F10" i="3"/>
  <c r="K9" i="3"/>
  <c r="J9" i="3"/>
  <c r="J5" i="3" s="1"/>
  <c r="I9" i="3"/>
  <c r="H9" i="3"/>
  <c r="G9" i="3"/>
  <c r="F9" i="3"/>
  <c r="F5" i="3" s="1"/>
  <c r="J4" i="3"/>
  <c r="F9" i="29"/>
  <c r="K81" i="29"/>
  <c r="J81" i="29"/>
  <c r="I81" i="29"/>
  <c r="H81" i="29"/>
  <c r="G81" i="29"/>
  <c r="F81" i="29"/>
  <c r="K80" i="29"/>
  <c r="J80" i="29"/>
  <c r="I80" i="29"/>
  <c r="I63" i="29" s="1"/>
  <c r="H80" i="29"/>
  <c r="G80" i="29"/>
  <c r="G63" i="29" s="1"/>
  <c r="F80" i="29"/>
  <c r="K79" i="29"/>
  <c r="J79" i="29"/>
  <c r="I79" i="29"/>
  <c r="H79" i="29"/>
  <c r="G79" i="29"/>
  <c r="F79" i="29"/>
  <c r="K78" i="29"/>
  <c r="J78" i="29"/>
  <c r="I78" i="29"/>
  <c r="H78" i="29"/>
  <c r="G78" i="29"/>
  <c r="F78" i="29"/>
  <c r="K77" i="29"/>
  <c r="J77" i="29"/>
  <c r="I77" i="29"/>
  <c r="H77" i="29"/>
  <c r="G77" i="29"/>
  <c r="F77" i="29"/>
  <c r="K76" i="29"/>
  <c r="J76" i="29"/>
  <c r="I76" i="29"/>
  <c r="H76" i="29"/>
  <c r="G76" i="29"/>
  <c r="F76" i="29"/>
  <c r="K75" i="29"/>
  <c r="J75" i="29"/>
  <c r="I75" i="29"/>
  <c r="H75" i="29"/>
  <c r="G75" i="29"/>
  <c r="F75" i="29"/>
  <c r="K74" i="29"/>
  <c r="J74" i="29"/>
  <c r="J57" i="29" s="1"/>
  <c r="I74" i="29"/>
  <c r="I57" i="29" s="1"/>
  <c r="H74" i="29"/>
  <c r="H57" i="29" s="1"/>
  <c r="G74" i="29"/>
  <c r="G57" i="29" s="1"/>
  <c r="F74" i="29"/>
  <c r="F57" i="29" s="1"/>
  <c r="K73" i="29"/>
  <c r="K56" i="29" s="1"/>
  <c r="J73" i="29"/>
  <c r="J56" i="29" s="1"/>
  <c r="I73" i="29"/>
  <c r="I56" i="29" s="1"/>
  <c r="H73" i="29"/>
  <c r="H56" i="29" s="1"/>
  <c r="G73" i="29"/>
  <c r="F73" i="29"/>
  <c r="F56" i="29" s="1"/>
  <c r="K72" i="29"/>
  <c r="K55" i="29" s="1"/>
  <c r="J72" i="29"/>
  <c r="J55" i="29" s="1"/>
  <c r="I72" i="29"/>
  <c r="H72" i="29"/>
  <c r="G72" i="29"/>
  <c r="F72" i="29"/>
  <c r="K71" i="29"/>
  <c r="J71" i="29"/>
  <c r="I71" i="29"/>
  <c r="H71" i="29"/>
  <c r="G71" i="29"/>
  <c r="F71" i="29"/>
  <c r="K70" i="29"/>
  <c r="J70" i="29"/>
  <c r="I70" i="29"/>
  <c r="H70" i="29"/>
  <c r="G70" i="29"/>
  <c r="G52" i="29" s="1"/>
  <c r="F70" i="29"/>
  <c r="K69" i="29"/>
  <c r="K61" i="29" s="1"/>
  <c r="J69" i="29"/>
  <c r="J61" i="29" s="1"/>
  <c r="I69" i="29"/>
  <c r="I61" i="29" s="1"/>
  <c r="H69" i="29"/>
  <c r="H61" i="29" s="1"/>
  <c r="G69" i="29"/>
  <c r="F69" i="29"/>
  <c r="F61" i="29" s="1"/>
  <c r="K68" i="29"/>
  <c r="J68" i="29"/>
  <c r="I68" i="29"/>
  <c r="H68" i="29"/>
  <c r="G68" i="29"/>
  <c r="F68" i="29"/>
  <c r="K67" i="29"/>
  <c r="J67" i="29"/>
  <c r="I67" i="29"/>
  <c r="H67" i="29"/>
  <c r="G67" i="29"/>
  <c r="F67" i="29"/>
  <c r="K66" i="29"/>
  <c r="K62" i="29" s="1"/>
  <c r="J66" i="29"/>
  <c r="J62" i="29" s="1"/>
  <c r="I66" i="29"/>
  <c r="I62" i="29" s="1"/>
  <c r="H66" i="29"/>
  <c r="H62" i="29" s="1"/>
  <c r="G66" i="29"/>
  <c r="G62" i="29" s="1"/>
  <c r="F66" i="29"/>
  <c r="F53" i="29" s="1"/>
  <c r="K65" i="29"/>
  <c r="J65" i="29"/>
  <c r="J60" i="29" s="1"/>
  <c r="I65" i="29"/>
  <c r="I60" i="29" s="1"/>
  <c r="H65" i="29"/>
  <c r="G65" i="29"/>
  <c r="F65" i="29"/>
  <c r="G61" i="29"/>
  <c r="G60" i="29"/>
  <c r="F60" i="29"/>
  <c r="I59" i="29"/>
  <c r="G56" i="29"/>
  <c r="I55" i="29"/>
  <c r="H55" i="29"/>
  <c r="G55" i="29"/>
  <c r="F55" i="29"/>
  <c r="I53" i="29"/>
  <c r="K48" i="29"/>
  <c r="J48" i="29"/>
  <c r="I48" i="29"/>
  <c r="H48" i="29"/>
  <c r="G48" i="29"/>
  <c r="F48" i="29"/>
  <c r="K47" i="29"/>
  <c r="J47" i="29"/>
  <c r="I47" i="29"/>
  <c r="I41" i="29" s="1"/>
  <c r="H47" i="29"/>
  <c r="G47" i="29"/>
  <c r="F47" i="29"/>
  <c r="F41" i="29" s="1"/>
  <c r="K46" i="29"/>
  <c r="J46" i="29"/>
  <c r="I46" i="29"/>
  <c r="H46" i="29"/>
  <c r="G46" i="29"/>
  <c r="F46" i="29"/>
  <c r="F40" i="29" s="1"/>
  <c r="K45" i="29"/>
  <c r="J45" i="29"/>
  <c r="I45" i="29"/>
  <c r="I39" i="29" s="1"/>
  <c r="H45" i="29"/>
  <c r="G45" i="29"/>
  <c r="F45" i="29"/>
  <c r="F39" i="29" s="1"/>
  <c r="K44" i="29"/>
  <c r="K39" i="29" s="1"/>
  <c r="J44" i="29"/>
  <c r="I44" i="29"/>
  <c r="H44" i="29"/>
  <c r="G44" i="29"/>
  <c r="F44" i="29"/>
  <c r="K43" i="29"/>
  <c r="J43" i="29"/>
  <c r="I43" i="29"/>
  <c r="I37" i="29" s="1"/>
  <c r="H43" i="29"/>
  <c r="H38" i="29" s="1"/>
  <c r="G43" i="29"/>
  <c r="G38" i="29" s="1"/>
  <c r="F43" i="29"/>
  <c r="F37" i="29" s="1"/>
  <c r="K41" i="29"/>
  <c r="K33" i="29"/>
  <c r="J33" i="29"/>
  <c r="I33" i="29"/>
  <c r="H33" i="29"/>
  <c r="G33" i="29"/>
  <c r="F33" i="29"/>
  <c r="K32" i="29"/>
  <c r="J32" i="29"/>
  <c r="I32" i="29"/>
  <c r="H32" i="29"/>
  <c r="G32" i="29"/>
  <c r="F32" i="29"/>
  <c r="K31" i="29"/>
  <c r="J31" i="29"/>
  <c r="I31" i="29"/>
  <c r="H31" i="29"/>
  <c r="G31" i="29"/>
  <c r="F31" i="29"/>
  <c r="K30" i="29"/>
  <c r="K21" i="29" s="1"/>
  <c r="J30" i="29"/>
  <c r="J21" i="29" s="1"/>
  <c r="I30" i="29"/>
  <c r="I21" i="29" s="1"/>
  <c r="H30" i="29"/>
  <c r="H21" i="29" s="1"/>
  <c r="G30" i="29"/>
  <c r="F30" i="29"/>
  <c r="K29" i="29"/>
  <c r="J29" i="29"/>
  <c r="I29" i="29"/>
  <c r="H29" i="29"/>
  <c r="G29" i="29"/>
  <c r="G20" i="29" s="1"/>
  <c r="F29" i="29"/>
  <c r="K28" i="29"/>
  <c r="K19" i="29" s="1"/>
  <c r="J28" i="29"/>
  <c r="J19" i="29" s="1"/>
  <c r="I28" i="29"/>
  <c r="I19" i="29" s="1"/>
  <c r="H28" i="29"/>
  <c r="H19" i="29" s="1"/>
  <c r="G28" i="29"/>
  <c r="F28" i="29"/>
  <c r="K27" i="29"/>
  <c r="J27" i="29"/>
  <c r="I27" i="29"/>
  <c r="H27" i="29"/>
  <c r="G27" i="29"/>
  <c r="F27" i="29"/>
  <c r="K15" i="29"/>
  <c r="J15" i="29"/>
  <c r="I15" i="29"/>
  <c r="H15" i="29"/>
  <c r="G15" i="29"/>
  <c r="F15" i="29"/>
  <c r="K14" i="29"/>
  <c r="J14" i="29"/>
  <c r="I14" i="29"/>
  <c r="H14" i="29"/>
  <c r="G14" i="29"/>
  <c r="F14" i="29"/>
  <c r="K13" i="29"/>
  <c r="J13" i="29"/>
  <c r="I13" i="29"/>
  <c r="H13" i="29"/>
  <c r="G13" i="29"/>
  <c r="F13" i="29"/>
  <c r="K12" i="29"/>
  <c r="J12" i="29"/>
  <c r="I12" i="29"/>
  <c r="H12" i="29"/>
  <c r="G12" i="29"/>
  <c r="F12" i="29"/>
  <c r="K11" i="29"/>
  <c r="K7" i="29" s="1"/>
  <c r="J11" i="29"/>
  <c r="J7" i="29" s="1"/>
  <c r="I11" i="29"/>
  <c r="H11" i="29"/>
  <c r="H7" i="29" s="1"/>
  <c r="G11" i="29"/>
  <c r="F11" i="29"/>
  <c r="K10" i="29"/>
  <c r="J10" i="29"/>
  <c r="I10" i="29"/>
  <c r="H10" i="29"/>
  <c r="G10" i="29"/>
  <c r="F10" i="29"/>
  <c r="K9" i="29"/>
  <c r="K5" i="29" s="1"/>
  <c r="J9" i="29"/>
  <c r="J5" i="29" s="1"/>
  <c r="I9" i="29"/>
  <c r="I4" i="29" s="1"/>
  <c r="H9" i="29"/>
  <c r="H5" i="29" s="1"/>
  <c r="G9" i="29"/>
  <c r="K81" i="28"/>
  <c r="J81" i="28"/>
  <c r="I81" i="28"/>
  <c r="H81" i="28"/>
  <c r="G81" i="28"/>
  <c r="F81" i="28"/>
  <c r="K80" i="28"/>
  <c r="J80" i="28"/>
  <c r="I80" i="28"/>
  <c r="H80" i="28"/>
  <c r="G80" i="28"/>
  <c r="F80" i="28"/>
  <c r="K79" i="28"/>
  <c r="J79" i="28"/>
  <c r="I79" i="28"/>
  <c r="H79" i="28"/>
  <c r="G79" i="28"/>
  <c r="F79" i="28"/>
  <c r="K78" i="28"/>
  <c r="J78" i="28"/>
  <c r="I78" i="28"/>
  <c r="H78" i="28"/>
  <c r="G78" i="28"/>
  <c r="F78" i="28"/>
  <c r="K77" i="28"/>
  <c r="J77" i="28"/>
  <c r="I77" i="28"/>
  <c r="H77" i="28"/>
  <c r="G77" i="28"/>
  <c r="F77" i="28"/>
  <c r="K76" i="28"/>
  <c r="J76" i="28"/>
  <c r="I76" i="28"/>
  <c r="H76" i="28"/>
  <c r="G76" i="28"/>
  <c r="F76" i="28"/>
  <c r="K75" i="28"/>
  <c r="J75" i="28"/>
  <c r="I75" i="28"/>
  <c r="H75" i="28"/>
  <c r="G75" i="28"/>
  <c r="F75" i="28"/>
  <c r="K74" i="28"/>
  <c r="K57" i="28" s="1"/>
  <c r="J74" i="28"/>
  <c r="J57" i="28" s="1"/>
  <c r="I74" i="28"/>
  <c r="H74" i="28"/>
  <c r="G74" i="28"/>
  <c r="F74" i="28"/>
  <c r="K73" i="28"/>
  <c r="J73" i="28"/>
  <c r="I73" i="28"/>
  <c r="I56" i="28" s="1"/>
  <c r="H73" i="28"/>
  <c r="G73" i="28"/>
  <c r="G56" i="28" s="1"/>
  <c r="F73" i="28"/>
  <c r="F56" i="28" s="1"/>
  <c r="K72" i="28"/>
  <c r="J72" i="28"/>
  <c r="J55" i="28" s="1"/>
  <c r="I72" i="28"/>
  <c r="H72" i="28"/>
  <c r="G72" i="28"/>
  <c r="F72" i="28"/>
  <c r="K71" i="28"/>
  <c r="J71" i="28"/>
  <c r="I71" i="28"/>
  <c r="H71" i="28"/>
  <c r="G71" i="28"/>
  <c r="F71" i="28"/>
  <c r="K70" i="28"/>
  <c r="K59" i="28" s="1"/>
  <c r="J70" i="28"/>
  <c r="I70" i="28"/>
  <c r="H70" i="28"/>
  <c r="G70" i="28"/>
  <c r="F70" i="28"/>
  <c r="K69" i="28"/>
  <c r="K61" i="28" s="1"/>
  <c r="J69" i="28"/>
  <c r="J61" i="28" s="1"/>
  <c r="I69" i="28"/>
  <c r="I61" i="28" s="1"/>
  <c r="H69" i="28"/>
  <c r="H61" i="28" s="1"/>
  <c r="G69" i="28"/>
  <c r="G61" i="28" s="1"/>
  <c r="F69" i="28"/>
  <c r="K68" i="28"/>
  <c r="J68" i="28"/>
  <c r="I68" i="28"/>
  <c r="H68" i="28"/>
  <c r="G68" i="28"/>
  <c r="F68" i="28"/>
  <c r="K67" i="28"/>
  <c r="K54" i="28" s="1"/>
  <c r="J67" i="28"/>
  <c r="I67" i="28"/>
  <c r="H67" i="28"/>
  <c r="G67" i="28"/>
  <c r="F67" i="28"/>
  <c r="K66" i="28"/>
  <c r="K53" i="28" s="1"/>
  <c r="J66" i="28"/>
  <c r="I66" i="28"/>
  <c r="I53" i="28" s="1"/>
  <c r="H66" i="28"/>
  <c r="H62" i="28" s="1"/>
  <c r="G66" i="28"/>
  <c r="G62" i="28" s="1"/>
  <c r="F66" i="28"/>
  <c r="F53" i="28" s="1"/>
  <c r="K65" i="28"/>
  <c r="J65" i="28"/>
  <c r="I65" i="28"/>
  <c r="I63" i="28" s="1"/>
  <c r="H65" i="28"/>
  <c r="H60" i="28" s="1"/>
  <c r="G65" i="28"/>
  <c r="G60" i="28" s="1"/>
  <c r="F65" i="28"/>
  <c r="F60" i="28" s="1"/>
  <c r="H63" i="28"/>
  <c r="K62" i="28"/>
  <c r="H57" i="28"/>
  <c r="F57" i="28"/>
  <c r="K56" i="28"/>
  <c r="J56" i="28"/>
  <c r="H56" i="28"/>
  <c r="H55" i="28"/>
  <c r="K48" i="28"/>
  <c r="J48" i="28"/>
  <c r="I48" i="28"/>
  <c r="H48" i="28"/>
  <c r="H41" i="28" s="1"/>
  <c r="G48" i="28"/>
  <c r="G41" i="28" s="1"/>
  <c r="F48" i="28"/>
  <c r="F41" i="28" s="1"/>
  <c r="K47" i="28"/>
  <c r="J47" i="28"/>
  <c r="I47" i="28"/>
  <c r="H47" i="28"/>
  <c r="G47" i="28"/>
  <c r="F47" i="28"/>
  <c r="K46" i="28"/>
  <c r="J46" i="28"/>
  <c r="J40" i="28" s="1"/>
  <c r="I46" i="28"/>
  <c r="H46" i="28"/>
  <c r="G46" i="28"/>
  <c r="F46" i="28"/>
  <c r="K45" i="28"/>
  <c r="J45" i="28"/>
  <c r="I45" i="28"/>
  <c r="H45" i="28"/>
  <c r="G45" i="28"/>
  <c r="F45" i="28"/>
  <c r="K44" i="28"/>
  <c r="J44" i="28"/>
  <c r="J39" i="28" s="1"/>
  <c r="I44" i="28"/>
  <c r="H44" i="28"/>
  <c r="H37" i="28" s="1"/>
  <c r="G44" i="28"/>
  <c r="G39" i="28" s="1"/>
  <c r="F44" i="28"/>
  <c r="F39" i="28" s="1"/>
  <c r="K43" i="28"/>
  <c r="K38" i="28" s="1"/>
  <c r="J43" i="28"/>
  <c r="I43" i="28"/>
  <c r="H43" i="28"/>
  <c r="H38" i="28" s="1"/>
  <c r="G43" i="28"/>
  <c r="F43" i="28"/>
  <c r="K40" i="28"/>
  <c r="J38" i="28"/>
  <c r="I38" i="28"/>
  <c r="G38" i="28"/>
  <c r="F38" i="28"/>
  <c r="K33" i="28"/>
  <c r="J33" i="28"/>
  <c r="I33" i="28"/>
  <c r="H33" i="28"/>
  <c r="G33" i="28"/>
  <c r="F33" i="28"/>
  <c r="K32" i="28"/>
  <c r="J32" i="28"/>
  <c r="I32" i="28"/>
  <c r="H32" i="28"/>
  <c r="G32" i="28"/>
  <c r="F32" i="28"/>
  <c r="K31" i="28"/>
  <c r="J31" i="28"/>
  <c r="I31" i="28"/>
  <c r="H31" i="28"/>
  <c r="G31" i="28"/>
  <c r="F31" i="28"/>
  <c r="K30" i="28"/>
  <c r="K21" i="28" s="1"/>
  <c r="J30" i="28"/>
  <c r="J21" i="28" s="1"/>
  <c r="I30" i="28"/>
  <c r="I21" i="28" s="1"/>
  <c r="H30" i="28"/>
  <c r="H21" i="28" s="1"/>
  <c r="G30" i="28"/>
  <c r="G21" i="28" s="1"/>
  <c r="F30" i="28"/>
  <c r="F21" i="28" s="1"/>
  <c r="K29" i="28"/>
  <c r="J29" i="28"/>
  <c r="I29" i="28"/>
  <c r="H29" i="28"/>
  <c r="G29" i="28"/>
  <c r="F29" i="28"/>
  <c r="K28" i="28"/>
  <c r="K19" i="28" s="1"/>
  <c r="J28" i="28"/>
  <c r="J19" i="28" s="1"/>
  <c r="I28" i="28"/>
  <c r="I19" i="28" s="1"/>
  <c r="H28" i="28"/>
  <c r="H19" i="28" s="1"/>
  <c r="G28" i="28"/>
  <c r="G19" i="28" s="1"/>
  <c r="F28" i="28"/>
  <c r="F19" i="28" s="1"/>
  <c r="K27" i="28"/>
  <c r="J27" i="28"/>
  <c r="I27" i="28"/>
  <c r="H27" i="28"/>
  <c r="G27" i="28"/>
  <c r="F27" i="28"/>
  <c r="K15" i="28"/>
  <c r="J15" i="28"/>
  <c r="I15" i="28"/>
  <c r="H15" i="28"/>
  <c r="G15" i="28"/>
  <c r="F15" i="28"/>
  <c r="K14" i="28"/>
  <c r="J14" i="28"/>
  <c r="I14" i="28"/>
  <c r="H14" i="28"/>
  <c r="G14" i="28"/>
  <c r="F14" i="28"/>
  <c r="K13" i="28"/>
  <c r="J13" i="28"/>
  <c r="I13" i="28"/>
  <c r="H13" i="28"/>
  <c r="G13" i="28"/>
  <c r="F13" i="28"/>
  <c r="K12" i="28"/>
  <c r="J12" i="28"/>
  <c r="I12" i="28"/>
  <c r="H12" i="28"/>
  <c r="G12" i="28"/>
  <c r="F12" i="28"/>
  <c r="K11" i="28"/>
  <c r="K6" i="28" s="1"/>
  <c r="J11" i="28"/>
  <c r="J7" i="28" s="1"/>
  <c r="I11" i="28"/>
  <c r="I7" i="28" s="1"/>
  <c r="H11" i="28"/>
  <c r="H7" i="28" s="1"/>
  <c r="G11" i="28"/>
  <c r="F11" i="28"/>
  <c r="K10" i="28"/>
  <c r="J10" i="28"/>
  <c r="I10" i="28"/>
  <c r="H10" i="28"/>
  <c r="G10" i="28"/>
  <c r="F10" i="28"/>
  <c r="K9" i="28"/>
  <c r="K4" i="28" s="1"/>
  <c r="J9" i="28"/>
  <c r="J4" i="28" s="1"/>
  <c r="I9" i="28"/>
  <c r="H9" i="28"/>
  <c r="G9" i="28"/>
  <c r="F9" i="28"/>
  <c r="F75" i="16"/>
  <c r="K81" i="16"/>
  <c r="J81" i="16"/>
  <c r="I81" i="16"/>
  <c r="H81" i="16"/>
  <c r="G81" i="16"/>
  <c r="F81" i="16"/>
  <c r="K80" i="16"/>
  <c r="J80" i="16"/>
  <c r="I80" i="16"/>
  <c r="H80" i="16"/>
  <c r="G80" i="16"/>
  <c r="F80" i="16"/>
  <c r="K79" i="16"/>
  <c r="J79" i="16"/>
  <c r="I79" i="16"/>
  <c r="H79" i="16"/>
  <c r="G79" i="16"/>
  <c r="F79" i="16"/>
  <c r="K78" i="16"/>
  <c r="J78" i="16"/>
  <c r="I78" i="16"/>
  <c r="H78" i="16"/>
  <c r="G78" i="16"/>
  <c r="F78" i="16"/>
  <c r="K77" i="16"/>
  <c r="J77" i="16"/>
  <c r="I77" i="16"/>
  <c r="H77" i="16"/>
  <c r="G77" i="16"/>
  <c r="F77" i="16"/>
  <c r="K76" i="16"/>
  <c r="J76" i="16"/>
  <c r="I76" i="16"/>
  <c r="H76" i="16"/>
  <c r="G76" i="16"/>
  <c r="G55" i="16" s="1"/>
  <c r="F76" i="16"/>
  <c r="K75" i="16"/>
  <c r="J75" i="16"/>
  <c r="I75" i="16"/>
  <c r="H75" i="16"/>
  <c r="G75" i="16"/>
  <c r="K74" i="16"/>
  <c r="J74" i="16"/>
  <c r="I74" i="16"/>
  <c r="H74" i="16"/>
  <c r="G74" i="16"/>
  <c r="F74" i="16"/>
  <c r="K73" i="16"/>
  <c r="J73" i="16"/>
  <c r="I73" i="16"/>
  <c r="H73" i="16"/>
  <c r="G73" i="16"/>
  <c r="F73" i="16"/>
  <c r="F56" i="16" s="1"/>
  <c r="K72" i="16"/>
  <c r="J72" i="16"/>
  <c r="J55" i="16" s="1"/>
  <c r="I72" i="16"/>
  <c r="I54" i="16" s="1"/>
  <c r="H72" i="16"/>
  <c r="G72" i="16"/>
  <c r="F72" i="16"/>
  <c r="K71" i="16"/>
  <c r="J71" i="16"/>
  <c r="I71" i="16"/>
  <c r="H71" i="16"/>
  <c r="G71" i="16"/>
  <c r="F71" i="16"/>
  <c r="K70" i="16"/>
  <c r="J70" i="16"/>
  <c r="J52" i="16" s="1"/>
  <c r="I70" i="16"/>
  <c r="I59" i="16" s="1"/>
  <c r="H70" i="16"/>
  <c r="G70" i="16"/>
  <c r="F70" i="16"/>
  <c r="K69" i="16"/>
  <c r="J69" i="16"/>
  <c r="I69" i="16"/>
  <c r="H69" i="16"/>
  <c r="H61" i="16" s="1"/>
  <c r="G69" i="16"/>
  <c r="G61" i="16" s="1"/>
  <c r="F69" i="16"/>
  <c r="K68" i="16"/>
  <c r="J68" i="16"/>
  <c r="J58" i="16" s="1"/>
  <c r="I68" i="16"/>
  <c r="I58" i="16" s="1"/>
  <c r="H68" i="16"/>
  <c r="G68" i="16"/>
  <c r="F68" i="16"/>
  <c r="K67" i="16"/>
  <c r="J67" i="16"/>
  <c r="J54" i="16" s="1"/>
  <c r="I67" i="16"/>
  <c r="H67" i="16"/>
  <c r="G67" i="16"/>
  <c r="F67" i="16"/>
  <c r="K66" i="16"/>
  <c r="J66" i="16"/>
  <c r="J53" i="16" s="1"/>
  <c r="I66" i="16"/>
  <c r="H66" i="16"/>
  <c r="H62" i="16" s="1"/>
  <c r="G66" i="16"/>
  <c r="F66" i="16"/>
  <c r="F53" i="16" s="1"/>
  <c r="K65" i="16"/>
  <c r="J65" i="16"/>
  <c r="J60" i="16" s="1"/>
  <c r="I65" i="16"/>
  <c r="I60" i="16" s="1"/>
  <c r="H65" i="16"/>
  <c r="H60" i="16" s="1"/>
  <c r="G65" i="16"/>
  <c r="G60" i="16" s="1"/>
  <c r="F65" i="16"/>
  <c r="H63" i="16"/>
  <c r="J61" i="16"/>
  <c r="I61" i="16"/>
  <c r="J56" i="16"/>
  <c r="I56" i="16"/>
  <c r="H56" i="16"/>
  <c r="G56" i="16"/>
  <c r="K48" i="16"/>
  <c r="J48" i="16"/>
  <c r="I48" i="16"/>
  <c r="H48" i="16"/>
  <c r="H41" i="16" s="1"/>
  <c r="G48" i="16"/>
  <c r="G41" i="16" s="1"/>
  <c r="F48" i="16"/>
  <c r="F41" i="16" s="1"/>
  <c r="K47" i="16"/>
  <c r="J47" i="16"/>
  <c r="I47" i="16"/>
  <c r="H47" i="16"/>
  <c r="G47" i="16"/>
  <c r="F47" i="16"/>
  <c r="K46" i="16"/>
  <c r="J46" i="16"/>
  <c r="I46" i="16"/>
  <c r="H46" i="16"/>
  <c r="G46" i="16"/>
  <c r="G40" i="16" s="1"/>
  <c r="F46" i="16"/>
  <c r="K45" i="16"/>
  <c r="J45" i="16"/>
  <c r="I45" i="16"/>
  <c r="H45" i="16"/>
  <c r="G45" i="16"/>
  <c r="F45" i="16"/>
  <c r="K44" i="16"/>
  <c r="K37" i="16" s="1"/>
  <c r="J44" i="16"/>
  <c r="J37" i="16" s="1"/>
  <c r="I44" i="16"/>
  <c r="I37" i="16" s="1"/>
  <c r="H44" i="16"/>
  <c r="H37" i="16" s="1"/>
  <c r="G44" i="16"/>
  <c r="G39" i="16" s="1"/>
  <c r="F44" i="16"/>
  <c r="K43" i="16"/>
  <c r="J43" i="16"/>
  <c r="I43" i="16"/>
  <c r="H43" i="16"/>
  <c r="H38" i="16" s="1"/>
  <c r="G43" i="16"/>
  <c r="G38" i="16" s="1"/>
  <c r="F43" i="16"/>
  <c r="F38" i="16" s="1"/>
  <c r="I39" i="16"/>
  <c r="K38" i="16"/>
  <c r="J38" i="16"/>
  <c r="I38" i="16"/>
  <c r="K33" i="16"/>
  <c r="J33" i="16"/>
  <c r="I33" i="16"/>
  <c r="H33" i="16"/>
  <c r="G33" i="16"/>
  <c r="F33" i="16"/>
  <c r="K32" i="16"/>
  <c r="J32" i="16"/>
  <c r="I32" i="16"/>
  <c r="H32" i="16"/>
  <c r="G32" i="16"/>
  <c r="F32" i="16"/>
  <c r="K31" i="16"/>
  <c r="J31" i="16"/>
  <c r="I31" i="16"/>
  <c r="H31" i="16"/>
  <c r="G31" i="16"/>
  <c r="F31" i="16"/>
  <c r="K30" i="16"/>
  <c r="K21" i="16" s="1"/>
  <c r="J30" i="16"/>
  <c r="J21" i="16" s="1"/>
  <c r="I30" i="16"/>
  <c r="I21" i="16" s="1"/>
  <c r="H30" i="16"/>
  <c r="H21" i="16" s="1"/>
  <c r="G30" i="16"/>
  <c r="F30" i="16"/>
  <c r="K29" i="16"/>
  <c r="J29" i="16"/>
  <c r="I29" i="16"/>
  <c r="H29" i="16"/>
  <c r="G29" i="16"/>
  <c r="F29" i="16"/>
  <c r="K28" i="16"/>
  <c r="K19" i="16" s="1"/>
  <c r="J28" i="16"/>
  <c r="J19" i="16" s="1"/>
  <c r="I28" i="16"/>
  <c r="I19" i="16" s="1"/>
  <c r="H28" i="16"/>
  <c r="H19" i="16" s="1"/>
  <c r="G28" i="16"/>
  <c r="F28" i="16"/>
  <c r="K27" i="16"/>
  <c r="J27" i="16"/>
  <c r="I27" i="16"/>
  <c r="H27" i="16"/>
  <c r="G27" i="16"/>
  <c r="F27" i="16"/>
  <c r="K15" i="16"/>
  <c r="J15" i="16"/>
  <c r="I15" i="16"/>
  <c r="H15" i="16"/>
  <c r="G15" i="16"/>
  <c r="F15" i="16"/>
  <c r="K14" i="16"/>
  <c r="J14" i="16"/>
  <c r="I14" i="16"/>
  <c r="H14" i="16"/>
  <c r="G14" i="16"/>
  <c r="F14" i="16"/>
  <c r="K13" i="16"/>
  <c r="J13" i="16"/>
  <c r="I13" i="16"/>
  <c r="H13" i="16"/>
  <c r="G13" i="16"/>
  <c r="F13" i="16"/>
  <c r="K12" i="16"/>
  <c r="J12" i="16"/>
  <c r="I12" i="16"/>
  <c r="H12" i="16"/>
  <c r="G12" i="16"/>
  <c r="F12" i="16"/>
  <c r="K11" i="16"/>
  <c r="K7" i="16" s="1"/>
  <c r="J11" i="16"/>
  <c r="J7" i="16" s="1"/>
  <c r="I11" i="16"/>
  <c r="I7" i="16" s="1"/>
  <c r="H11" i="16"/>
  <c r="H7" i="16" s="1"/>
  <c r="G11" i="16"/>
  <c r="F11" i="16"/>
  <c r="K10" i="16"/>
  <c r="J10" i="16"/>
  <c r="I10" i="16"/>
  <c r="H10" i="16"/>
  <c r="G10" i="16"/>
  <c r="F10" i="16"/>
  <c r="K9" i="16"/>
  <c r="K5" i="16" s="1"/>
  <c r="J9" i="16"/>
  <c r="J4" i="16" s="1"/>
  <c r="I9" i="16"/>
  <c r="I5" i="16" s="1"/>
  <c r="H9" i="16"/>
  <c r="H5" i="16" s="1"/>
  <c r="G9" i="16"/>
  <c r="F9" i="16"/>
  <c r="G5" i="16"/>
  <c r="K81" i="37"/>
  <c r="J81" i="37"/>
  <c r="I81" i="37"/>
  <c r="H81" i="37"/>
  <c r="G81" i="37"/>
  <c r="F81" i="37"/>
  <c r="K80" i="37"/>
  <c r="J80" i="37"/>
  <c r="I80" i="37"/>
  <c r="H80" i="37"/>
  <c r="G80" i="37"/>
  <c r="F80" i="37"/>
  <c r="K79" i="37"/>
  <c r="J79" i="37"/>
  <c r="I79" i="37"/>
  <c r="H79" i="37"/>
  <c r="G79" i="37"/>
  <c r="F79" i="37"/>
  <c r="K78" i="37"/>
  <c r="J78" i="37"/>
  <c r="I78" i="37"/>
  <c r="H78" i="37"/>
  <c r="G78" i="37"/>
  <c r="F78" i="37"/>
  <c r="K77" i="37"/>
  <c r="J77" i="37"/>
  <c r="I77" i="37"/>
  <c r="H77" i="37"/>
  <c r="G77" i="37"/>
  <c r="F77" i="37"/>
  <c r="K76" i="37"/>
  <c r="J76" i="37"/>
  <c r="I76" i="37"/>
  <c r="H76" i="37"/>
  <c r="G76" i="37"/>
  <c r="F76" i="37"/>
  <c r="K75" i="37"/>
  <c r="J75" i="37"/>
  <c r="I75" i="37"/>
  <c r="H75" i="37"/>
  <c r="G75" i="37"/>
  <c r="F75" i="37"/>
  <c r="K74" i="37"/>
  <c r="J74" i="37"/>
  <c r="I74" i="37"/>
  <c r="H74" i="37"/>
  <c r="H57" i="37" s="1"/>
  <c r="G74" i="37"/>
  <c r="G57" i="37" s="1"/>
  <c r="F74" i="37"/>
  <c r="F57" i="37" s="1"/>
  <c r="K73" i="37"/>
  <c r="J73" i="37"/>
  <c r="I73" i="37"/>
  <c r="H73" i="37"/>
  <c r="G73" i="37"/>
  <c r="F73" i="37"/>
  <c r="K72" i="37"/>
  <c r="J72" i="37"/>
  <c r="I72" i="37"/>
  <c r="I55" i="37" s="1"/>
  <c r="H72" i="37"/>
  <c r="G72" i="37"/>
  <c r="F72" i="37"/>
  <c r="K71" i="37"/>
  <c r="J71" i="37"/>
  <c r="I71" i="37"/>
  <c r="H71" i="37"/>
  <c r="G71" i="37"/>
  <c r="F71" i="37"/>
  <c r="K70" i="37"/>
  <c r="J70" i="37"/>
  <c r="I70" i="37"/>
  <c r="H70" i="37"/>
  <c r="G70" i="37"/>
  <c r="F70" i="37"/>
  <c r="K69" i="37"/>
  <c r="K59" i="37" s="1"/>
  <c r="J69" i="37"/>
  <c r="J61" i="37" s="1"/>
  <c r="I69" i="37"/>
  <c r="I61" i="37" s="1"/>
  <c r="H69" i="37"/>
  <c r="H61" i="37" s="1"/>
  <c r="G69" i="37"/>
  <c r="G61" i="37" s="1"/>
  <c r="F69" i="37"/>
  <c r="F61" i="37" s="1"/>
  <c r="K68" i="37"/>
  <c r="J68" i="37"/>
  <c r="I68" i="37"/>
  <c r="H68" i="37"/>
  <c r="G68" i="37"/>
  <c r="F68" i="37"/>
  <c r="K67" i="37"/>
  <c r="J67" i="37"/>
  <c r="I67" i="37"/>
  <c r="H67" i="37"/>
  <c r="G67" i="37"/>
  <c r="F67" i="37"/>
  <c r="K66" i="37"/>
  <c r="K62" i="37" s="1"/>
  <c r="J66" i="37"/>
  <c r="J62" i="37" s="1"/>
  <c r="I66" i="37"/>
  <c r="I62" i="37" s="1"/>
  <c r="H66" i="37"/>
  <c r="H62" i="37" s="1"/>
  <c r="G66" i="37"/>
  <c r="G62" i="37" s="1"/>
  <c r="F66" i="37"/>
  <c r="F53" i="37" s="1"/>
  <c r="K65" i="37"/>
  <c r="K63" i="37" s="1"/>
  <c r="J65" i="37"/>
  <c r="J60" i="37" s="1"/>
  <c r="I65" i="37"/>
  <c r="I60" i="37" s="1"/>
  <c r="H65" i="37"/>
  <c r="H60" i="37" s="1"/>
  <c r="G65" i="37"/>
  <c r="G60" i="37" s="1"/>
  <c r="F65" i="37"/>
  <c r="F63" i="37" s="1"/>
  <c r="K60" i="37"/>
  <c r="K55" i="37"/>
  <c r="J55" i="37"/>
  <c r="K54" i="37"/>
  <c r="K53" i="37"/>
  <c r="K52" i="37"/>
  <c r="I52" i="37"/>
  <c r="K48" i="37"/>
  <c r="J48" i="37"/>
  <c r="I48" i="37"/>
  <c r="H48" i="37"/>
  <c r="G48" i="37"/>
  <c r="F48" i="37"/>
  <c r="K47" i="37"/>
  <c r="J47" i="37"/>
  <c r="J41" i="37" s="1"/>
  <c r="I47" i="37"/>
  <c r="I41" i="37" s="1"/>
  <c r="H47" i="37"/>
  <c r="H41" i="37" s="1"/>
  <c r="G47" i="37"/>
  <c r="G41" i="37" s="1"/>
  <c r="F47" i="37"/>
  <c r="F41" i="37" s="1"/>
  <c r="K46" i="37"/>
  <c r="J46" i="37"/>
  <c r="I46" i="37"/>
  <c r="I40" i="37" s="1"/>
  <c r="H46" i="37"/>
  <c r="G46" i="37"/>
  <c r="G40" i="37" s="1"/>
  <c r="F46" i="37"/>
  <c r="K45" i="37"/>
  <c r="J45" i="37"/>
  <c r="J39" i="37" s="1"/>
  <c r="I45" i="37"/>
  <c r="H45" i="37"/>
  <c r="H39" i="37" s="1"/>
  <c r="G45" i="37"/>
  <c r="F45" i="37"/>
  <c r="F39" i="37" s="1"/>
  <c r="K44" i="37"/>
  <c r="J44" i="37"/>
  <c r="I44" i="37"/>
  <c r="H44" i="37"/>
  <c r="G44" i="37"/>
  <c r="F44" i="37"/>
  <c r="K43" i="37"/>
  <c r="J43" i="37"/>
  <c r="J37" i="37" s="1"/>
  <c r="I43" i="37"/>
  <c r="I37" i="37" s="1"/>
  <c r="H43" i="37"/>
  <c r="H38" i="37" s="1"/>
  <c r="G43" i="37"/>
  <c r="G38" i="37" s="1"/>
  <c r="F43" i="37"/>
  <c r="F38" i="37" s="1"/>
  <c r="J40" i="37"/>
  <c r="K33" i="37"/>
  <c r="J33" i="37"/>
  <c r="I33" i="37"/>
  <c r="H33" i="37"/>
  <c r="G33" i="37"/>
  <c r="F33" i="37"/>
  <c r="K32" i="37"/>
  <c r="J32" i="37"/>
  <c r="I32" i="37"/>
  <c r="H32" i="37"/>
  <c r="G32" i="37"/>
  <c r="F32" i="37"/>
  <c r="K31" i="37"/>
  <c r="J31" i="37"/>
  <c r="I31" i="37"/>
  <c r="H31" i="37"/>
  <c r="G31" i="37"/>
  <c r="F31" i="37"/>
  <c r="K30" i="37"/>
  <c r="K21" i="37" s="1"/>
  <c r="J30" i="37"/>
  <c r="J21" i="37" s="1"/>
  <c r="I30" i="37"/>
  <c r="H30" i="37"/>
  <c r="G30" i="37"/>
  <c r="F30" i="37"/>
  <c r="K29" i="37"/>
  <c r="K20" i="37" s="1"/>
  <c r="J29" i="37"/>
  <c r="I29" i="37"/>
  <c r="I20" i="37" s="1"/>
  <c r="H29" i="37"/>
  <c r="H20" i="37" s="1"/>
  <c r="G29" i="37"/>
  <c r="G20" i="37" s="1"/>
  <c r="F29" i="37"/>
  <c r="K28" i="37"/>
  <c r="K19" i="37" s="1"/>
  <c r="J28" i="37"/>
  <c r="J19" i="37" s="1"/>
  <c r="I28" i="37"/>
  <c r="H28" i="37"/>
  <c r="G28" i="37"/>
  <c r="F28" i="37"/>
  <c r="K27" i="37"/>
  <c r="J27" i="37"/>
  <c r="I27" i="37"/>
  <c r="H27" i="37"/>
  <c r="G27" i="37"/>
  <c r="F27" i="37"/>
  <c r="K15" i="37"/>
  <c r="J15" i="37"/>
  <c r="I15" i="37"/>
  <c r="H15" i="37"/>
  <c r="G15" i="37"/>
  <c r="F15" i="37"/>
  <c r="K14" i="37"/>
  <c r="J14" i="37"/>
  <c r="I14" i="37"/>
  <c r="I6" i="37" s="1"/>
  <c r="H14" i="37"/>
  <c r="H5" i="37" s="1"/>
  <c r="G14" i="37"/>
  <c r="F14" i="37"/>
  <c r="K13" i="37"/>
  <c r="J13" i="37"/>
  <c r="I13" i="37"/>
  <c r="H13" i="37"/>
  <c r="G13" i="37"/>
  <c r="F13" i="37"/>
  <c r="K12" i="37"/>
  <c r="J12" i="37"/>
  <c r="I12" i="37"/>
  <c r="H12" i="37"/>
  <c r="G12" i="37"/>
  <c r="F12" i="37"/>
  <c r="K11" i="37"/>
  <c r="K7" i="37" s="1"/>
  <c r="J11" i="37"/>
  <c r="J7" i="37" s="1"/>
  <c r="I11" i="37"/>
  <c r="H11" i="37"/>
  <c r="G11" i="37"/>
  <c r="F11" i="37"/>
  <c r="K10" i="37"/>
  <c r="J10" i="37"/>
  <c r="I10" i="37"/>
  <c r="H10" i="37"/>
  <c r="G10" i="37"/>
  <c r="F10" i="37"/>
  <c r="K9" i="37"/>
  <c r="K5" i="37" s="1"/>
  <c r="J9" i="37"/>
  <c r="J4" i="37" s="1"/>
  <c r="I9" i="37"/>
  <c r="H9" i="37"/>
  <c r="G9" i="37"/>
  <c r="F9" i="37"/>
  <c r="I4" i="37"/>
  <c r="K81" i="21"/>
  <c r="J81" i="21"/>
  <c r="I81" i="21"/>
  <c r="H81" i="21"/>
  <c r="G81" i="21"/>
  <c r="F81" i="21"/>
  <c r="K80" i="21"/>
  <c r="J80" i="21"/>
  <c r="I80" i="21"/>
  <c r="H80" i="21"/>
  <c r="G80" i="21"/>
  <c r="F80" i="21"/>
  <c r="F62" i="21" s="1"/>
  <c r="K79" i="21"/>
  <c r="J79" i="21"/>
  <c r="I79" i="21"/>
  <c r="H79" i="21"/>
  <c r="G79" i="21"/>
  <c r="F79" i="21"/>
  <c r="K78" i="21"/>
  <c r="J78" i="21"/>
  <c r="I78" i="21"/>
  <c r="H78" i="21"/>
  <c r="G78" i="21"/>
  <c r="F78" i="21"/>
  <c r="K77" i="21"/>
  <c r="J77" i="21"/>
  <c r="I77" i="21"/>
  <c r="H77" i="21"/>
  <c r="G77" i="21"/>
  <c r="F77" i="21"/>
  <c r="K76" i="21"/>
  <c r="J76" i="21"/>
  <c r="I76" i="21"/>
  <c r="H76" i="21"/>
  <c r="G76" i="21"/>
  <c r="F76" i="21"/>
  <c r="K75" i="21"/>
  <c r="J75" i="21"/>
  <c r="I75" i="21"/>
  <c r="H75" i="21"/>
  <c r="G75" i="21"/>
  <c r="F75" i="21"/>
  <c r="K74" i="21"/>
  <c r="J74" i="21"/>
  <c r="J57" i="21" s="1"/>
  <c r="I74" i="21"/>
  <c r="I57" i="21" s="1"/>
  <c r="H74" i="21"/>
  <c r="G74" i="21"/>
  <c r="G57" i="21" s="1"/>
  <c r="F74" i="21"/>
  <c r="F57" i="21" s="1"/>
  <c r="K73" i="21"/>
  <c r="K56" i="21" s="1"/>
  <c r="J73" i="21"/>
  <c r="J56" i="21" s="1"/>
  <c r="I73" i="21"/>
  <c r="I56" i="21" s="1"/>
  <c r="H73" i="21"/>
  <c r="G73" i="21"/>
  <c r="F73" i="21"/>
  <c r="K72" i="21"/>
  <c r="J72" i="21"/>
  <c r="I72" i="21"/>
  <c r="H72" i="21"/>
  <c r="H54" i="21" s="1"/>
  <c r="G72" i="21"/>
  <c r="G54" i="21" s="1"/>
  <c r="F72" i="21"/>
  <c r="F54" i="21" s="1"/>
  <c r="K71" i="21"/>
  <c r="J71" i="21"/>
  <c r="I71" i="21"/>
  <c r="H71" i="21"/>
  <c r="G71" i="21"/>
  <c r="F71" i="21"/>
  <c r="K70" i="21"/>
  <c r="J70" i="21"/>
  <c r="I70" i="21"/>
  <c r="H70" i="21"/>
  <c r="H52" i="21" s="1"/>
  <c r="G70" i="21"/>
  <c r="G52" i="21" s="1"/>
  <c r="F70" i="21"/>
  <c r="F52" i="21" s="1"/>
  <c r="K69" i="21"/>
  <c r="K61" i="21" s="1"/>
  <c r="J69" i="21"/>
  <c r="J61" i="21" s="1"/>
  <c r="I69" i="21"/>
  <c r="I59" i="21" s="1"/>
  <c r="H69" i="21"/>
  <c r="G69" i="21"/>
  <c r="F69" i="21"/>
  <c r="K68" i="21"/>
  <c r="J68" i="21"/>
  <c r="I68" i="21"/>
  <c r="H68" i="21"/>
  <c r="H58" i="21" s="1"/>
  <c r="G68" i="21"/>
  <c r="F68" i="21"/>
  <c r="F58" i="21" s="1"/>
  <c r="K67" i="21"/>
  <c r="J67" i="21"/>
  <c r="I67" i="21"/>
  <c r="H67" i="21"/>
  <c r="G67" i="21"/>
  <c r="F67" i="21"/>
  <c r="K66" i="21"/>
  <c r="J66" i="21"/>
  <c r="J53" i="21" s="1"/>
  <c r="I66" i="21"/>
  <c r="I53" i="21" s="1"/>
  <c r="H66" i="21"/>
  <c r="H62" i="21" s="1"/>
  <c r="G66" i="21"/>
  <c r="G62" i="21" s="1"/>
  <c r="F66" i="21"/>
  <c r="F53" i="21" s="1"/>
  <c r="K65" i="21"/>
  <c r="K63" i="21" s="1"/>
  <c r="J65" i="21"/>
  <c r="J63" i="21" s="1"/>
  <c r="I65" i="21"/>
  <c r="I63" i="21" s="1"/>
  <c r="H65" i="21"/>
  <c r="G65" i="21"/>
  <c r="F65" i="21"/>
  <c r="K62" i="21"/>
  <c r="J62" i="21"/>
  <c r="H61" i="21"/>
  <c r="G61" i="21"/>
  <c r="F61" i="21"/>
  <c r="H60" i="21"/>
  <c r="G60" i="21"/>
  <c r="F60" i="21"/>
  <c r="K58" i="21"/>
  <c r="J58" i="21"/>
  <c r="I58" i="21"/>
  <c r="K57" i="21"/>
  <c r="K55" i="21"/>
  <c r="J55" i="21"/>
  <c r="I55" i="21"/>
  <c r="K54" i="21"/>
  <c r="J54" i="21"/>
  <c r="I54" i="21"/>
  <c r="K53" i="21"/>
  <c r="K48" i="21"/>
  <c r="J48" i="21"/>
  <c r="I48" i="21"/>
  <c r="H48" i="21"/>
  <c r="G48" i="21"/>
  <c r="G41" i="21" s="1"/>
  <c r="F48" i="21"/>
  <c r="K47" i="21"/>
  <c r="J47" i="21"/>
  <c r="I47" i="21"/>
  <c r="H47" i="21"/>
  <c r="G47" i="21"/>
  <c r="F47" i="21"/>
  <c r="K46" i="21"/>
  <c r="J46" i="21"/>
  <c r="J40" i="21" s="1"/>
  <c r="I46" i="21"/>
  <c r="H46" i="21"/>
  <c r="G46" i="21"/>
  <c r="F46" i="21"/>
  <c r="F40" i="21" s="1"/>
  <c r="K45" i="21"/>
  <c r="J45" i="21"/>
  <c r="I45" i="21"/>
  <c r="H45" i="21"/>
  <c r="G45" i="21"/>
  <c r="F45" i="21"/>
  <c r="K44" i="21"/>
  <c r="J44" i="21"/>
  <c r="I44" i="21"/>
  <c r="I40" i="21" s="1"/>
  <c r="H44" i="21"/>
  <c r="H39" i="21" s="1"/>
  <c r="G44" i="21"/>
  <c r="G37" i="21" s="1"/>
  <c r="F44" i="21"/>
  <c r="F39" i="21" s="1"/>
  <c r="K43" i="21"/>
  <c r="J43" i="21"/>
  <c r="I43" i="21"/>
  <c r="H43" i="21"/>
  <c r="H38" i="21" s="1"/>
  <c r="G43" i="21"/>
  <c r="G38" i="21" s="1"/>
  <c r="F43" i="21"/>
  <c r="K40" i="21"/>
  <c r="F38" i="21"/>
  <c r="K33" i="21"/>
  <c r="J33" i="21"/>
  <c r="I33" i="21"/>
  <c r="H33" i="21"/>
  <c r="G33" i="21"/>
  <c r="F33" i="21"/>
  <c r="K32" i="21"/>
  <c r="J32" i="21"/>
  <c r="I32" i="21"/>
  <c r="H32" i="21"/>
  <c r="G32" i="21"/>
  <c r="F32" i="21"/>
  <c r="K31" i="21"/>
  <c r="J31" i="21"/>
  <c r="I31" i="21"/>
  <c r="H31" i="21"/>
  <c r="G31" i="21"/>
  <c r="F31" i="21"/>
  <c r="K30" i="21"/>
  <c r="J30" i="21"/>
  <c r="I30" i="21"/>
  <c r="I21" i="21" s="1"/>
  <c r="H30" i="21"/>
  <c r="H21" i="21" s="1"/>
  <c r="G30" i="21"/>
  <c r="G21" i="21" s="1"/>
  <c r="F30" i="21"/>
  <c r="F21" i="21" s="1"/>
  <c r="K29" i="21"/>
  <c r="J29" i="21"/>
  <c r="I29" i="21"/>
  <c r="H29" i="21"/>
  <c r="G29" i="21"/>
  <c r="F29" i="21"/>
  <c r="K28" i="21"/>
  <c r="J28" i="21"/>
  <c r="I28" i="21"/>
  <c r="I19" i="21" s="1"/>
  <c r="H28" i="21"/>
  <c r="H19" i="21" s="1"/>
  <c r="G28" i="21"/>
  <c r="G19" i="21" s="1"/>
  <c r="F28" i="21"/>
  <c r="F19" i="21" s="1"/>
  <c r="K27" i="21"/>
  <c r="J27" i="21"/>
  <c r="I27" i="21"/>
  <c r="H27" i="21"/>
  <c r="G27" i="21"/>
  <c r="F27" i="21"/>
  <c r="K15" i="21"/>
  <c r="J15" i="21"/>
  <c r="I15" i="21"/>
  <c r="H15" i="21"/>
  <c r="G15" i="21"/>
  <c r="F15" i="21"/>
  <c r="K14" i="21"/>
  <c r="K5" i="21" s="1"/>
  <c r="J14" i="21"/>
  <c r="J6" i="21" s="1"/>
  <c r="I14" i="21"/>
  <c r="H14" i="21"/>
  <c r="G14" i="21"/>
  <c r="F14" i="21"/>
  <c r="K13" i="21"/>
  <c r="J13" i="21"/>
  <c r="I13" i="21"/>
  <c r="H13" i="21"/>
  <c r="G13" i="21"/>
  <c r="F13" i="21"/>
  <c r="K12" i="21"/>
  <c r="J12" i="21"/>
  <c r="I12" i="21"/>
  <c r="H12" i="21"/>
  <c r="G12" i="21"/>
  <c r="F12" i="21"/>
  <c r="K11" i="21"/>
  <c r="J11" i="21"/>
  <c r="I11" i="21"/>
  <c r="H11" i="21"/>
  <c r="H6" i="21" s="1"/>
  <c r="G11" i="21"/>
  <c r="G7" i="21" s="1"/>
  <c r="F11" i="21"/>
  <c r="K10" i="21"/>
  <c r="J10" i="21"/>
  <c r="I10" i="21"/>
  <c r="H10" i="21"/>
  <c r="G10" i="21"/>
  <c r="F10" i="21"/>
  <c r="K9" i="21"/>
  <c r="J9" i="21"/>
  <c r="I9" i="21"/>
  <c r="I5" i="21" s="1"/>
  <c r="H9" i="21"/>
  <c r="G9" i="21"/>
  <c r="F9" i="21"/>
  <c r="I6" i="21"/>
  <c r="G81" i="7"/>
  <c r="H81" i="7"/>
  <c r="I81" i="7"/>
  <c r="J81" i="7"/>
  <c r="K81" i="7"/>
  <c r="G80" i="7"/>
  <c r="H80" i="7"/>
  <c r="I80" i="7"/>
  <c r="J80" i="7"/>
  <c r="K80" i="7"/>
  <c r="G79" i="7"/>
  <c r="H79" i="7"/>
  <c r="I79" i="7"/>
  <c r="I61" i="7" s="1"/>
  <c r="J79" i="7"/>
  <c r="J61" i="7" s="1"/>
  <c r="K79" i="7"/>
  <c r="G78" i="7"/>
  <c r="H78" i="7"/>
  <c r="I78" i="7"/>
  <c r="J78" i="7"/>
  <c r="K78" i="7"/>
  <c r="G77" i="7"/>
  <c r="H77" i="7"/>
  <c r="I77" i="7"/>
  <c r="J77" i="7"/>
  <c r="K77" i="7"/>
  <c r="G76" i="7"/>
  <c r="H76" i="7"/>
  <c r="I76" i="7"/>
  <c r="J76" i="7"/>
  <c r="K76" i="7"/>
  <c r="G75" i="7"/>
  <c r="H75" i="7"/>
  <c r="I75" i="7"/>
  <c r="J75" i="7"/>
  <c r="K75" i="7"/>
  <c r="G74" i="7"/>
  <c r="G57" i="7" s="1"/>
  <c r="H74" i="7"/>
  <c r="I74" i="7"/>
  <c r="I57" i="7" s="1"/>
  <c r="J74" i="7"/>
  <c r="K74" i="7"/>
  <c r="G73" i="7"/>
  <c r="H73" i="7"/>
  <c r="I73" i="7"/>
  <c r="J73" i="7"/>
  <c r="K73" i="7"/>
  <c r="G72" i="7"/>
  <c r="H72" i="7"/>
  <c r="H55" i="7" s="1"/>
  <c r="I72" i="7"/>
  <c r="J72" i="7"/>
  <c r="K72" i="7"/>
  <c r="K55" i="7" s="1"/>
  <c r="G71" i="7"/>
  <c r="H71" i="7"/>
  <c r="I71" i="7"/>
  <c r="J71" i="7"/>
  <c r="K71" i="7"/>
  <c r="G70" i="7"/>
  <c r="H70" i="7"/>
  <c r="I70" i="7"/>
  <c r="J70" i="7"/>
  <c r="K70" i="7"/>
  <c r="G69" i="7"/>
  <c r="H69" i="7"/>
  <c r="H61" i="7" s="1"/>
  <c r="I69" i="7"/>
  <c r="J69" i="7"/>
  <c r="K69" i="7"/>
  <c r="K61" i="7" s="1"/>
  <c r="G68" i="7"/>
  <c r="H68" i="7"/>
  <c r="I68" i="7"/>
  <c r="J68" i="7"/>
  <c r="K68" i="7"/>
  <c r="G67" i="7"/>
  <c r="H67" i="7"/>
  <c r="I67" i="7"/>
  <c r="J67" i="7"/>
  <c r="K67" i="7"/>
  <c r="G66" i="7"/>
  <c r="G62" i="7" s="1"/>
  <c r="H66" i="7"/>
  <c r="I66" i="7"/>
  <c r="I53" i="7" s="1"/>
  <c r="J66" i="7"/>
  <c r="K66" i="7"/>
  <c r="G65" i="7"/>
  <c r="H65" i="7"/>
  <c r="I65" i="7"/>
  <c r="J65" i="7"/>
  <c r="J52" i="7" s="1"/>
  <c r="K65" i="7"/>
  <c r="K63" i="7" s="1"/>
  <c r="F81" i="7"/>
  <c r="F63" i="7" s="1"/>
  <c r="F80" i="7"/>
  <c r="F79" i="7"/>
  <c r="F78" i="7"/>
  <c r="F77" i="7"/>
  <c r="F76" i="7"/>
  <c r="F75" i="7"/>
  <c r="F74" i="7"/>
  <c r="F73" i="7"/>
  <c r="F72" i="7"/>
  <c r="F71" i="7"/>
  <c r="F70" i="7"/>
  <c r="F69" i="7"/>
  <c r="F61" i="7" s="1"/>
  <c r="F68" i="7"/>
  <c r="F67" i="7"/>
  <c r="F66" i="7"/>
  <c r="F65" i="7"/>
  <c r="G48" i="7"/>
  <c r="H48" i="7"/>
  <c r="I48" i="7"/>
  <c r="J48" i="7"/>
  <c r="J41" i="7" s="1"/>
  <c r="K48" i="7"/>
  <c r="K41" i="7" s="1"/>
  <c r="G47" i="7"/>
  <c r="H47" i="7"/>
  <c r="I47" i="7"/>
  <c r="J47" i="7"/>
  <c r="K47" i="7"/>
  <c r="G46" i="7"/>
  <c r="G40" i="7" s="1"/>
  <c r="H46" i="7"/>
  <c r="H40" i="7" s="1"/>
  <c r="I46" i="7"/>
  <c r="J46" i="7"/>
  <c r="K46" i="7"/>
  <c r="G45" i="7"/>
  <c r="H45" i="7"/>
  <c r="H38" i="7" s="1"/>
  <c r="I45" i="7"/>
  <c r="I39" i="7" s="1"/>
  <c r="J45" i="7"/>
  <c r="J39" i="7" s="1"/>
  <c r="K45" i="7"/>
  <c r="G44" i="7"/>
  <c r="G39" i="7" s="1"/>
  <c r="H44" i="7"/>
  <c r="I44" i="7"/>
  <c r="J44" i="7"/>
  <c r="K44" i="7"/>
  <c r="K39" i="7" s="1"/>
  <c r="G43" i="7"/>
  <c r="H43" i="7"/>
  <c r="H37" i="7" s="1"/>
  <c r="I43" i="7"/>
  <c r="J43" i="7"/>
  <c r="K43" i="7"/>
  <c r="F48" i="7"/>
  <c r="F47" i="7"/>
  <c r="F46" i="7"/>
  <c r="F45" i="7"/>
  <c r="F44" i="7"/>
  <c r="F39" i="7" s="1"/>
  <c r="F43" i="7"/>
  <c r="F38" i="7" s="1"/>
  <c r="G33" i="7"/>
  <c r="H33" i="7"/>
  <c r="I33" i="7"/>
  <c r="I25" i="7" s="1"/>
  <c r="J33" i="7"/>
  <c r="K33" i="7"/>
  <c r="G32" i="7"/>
  <c r="H32" i="7"/>
  <c r="I32" i="7"/>
  <c r="I24" i="7" s="1"/>
  <c r="J32" i="7"/>
  <c r="K32" i="7"/>
  <c r="G31" i="7"/>
  <c r="H31" i="7"/>
  <c r="I31" i="7"/>
  <c r="J31" i="7"/>
  <c r="K31" i="7"/>
  <c r="G30" i="7"/>
  <c r="H30" i="7"/>
  <c r="I30" i="7"/>
  <c r="I21" i="7" s="1"/>
  <c r="J30" i="7"/>
  <c r="J21" i="7" s="1"/>
  <c r="K30" i="7"/>
  <c r="K21" i="7" s="1"/>
  <c r="G29" i="7"/>
  <c r="H29" i="7"/>
  <c r="I29" i="7"/>
  <c r="I20" i="7" s="1"/>
  <c r="J29" i="7"/>
  <c r="J20" i="7" s="1"/>
  <c r="K29" i="7"/>
  <c r="K20" i="7" s="1"/>
  <c r="G28" i="7"/>
  <c r="H28" i="7"/>
  <c r="I28" i="7"/>
  <c r="I19" i="7" s="1"/>
  <c r="J28" i="7"/>
  <c r="J19" i="7" s="1"/>
  <c r="K28" i="7"/>
  <c r="K19" i="7" s="1"/>
  <c r="G27" i="7"/>
  <c r="G25" i="7" s="1"/>
  <c r="H27" i="7"/>
  <c r="H24" i="7" s="1"/>
  <c r="I27" i="7"/>
  <c r="J27" i="7"/>
  <c r="K27" i="7"/>
  <c r="F33" i="7"/>
  <c r="F32" i="7"/>
  <c r="F31" i="7"/>
  <c r="F30" i="7"/>
  <c r="F29" i="7"/>
  <c r="F28" i="7"/>
  <c r="F27" i="7"/>
  <c r="G15" i="7"/>
  <c r="H15" i="7"/>
  <c r="I15" i="7"/>
  <c r="J15" i="7"/>
  <c r="K15" i="7"/>
  <c r="G14" i="7"/>
  <c r="H14" i="7"/>
  <c r="I14" i="7"/>
  <c r="J14" i="7"/>
  <c r="K14" i="7"/>
  <c r="G13" i="7"/>
  <c r="H13" i="7"/>
  <c r="I13" i="7"/>
  <c r="J13" i="7"/>
  <c r="K13" i="7"/>
  <c r="G12" i="7"/>
  <c r="H12" i="7"/>
  <c r="I12" i="7"/>
  <c r="J12" i="7"/>
  <c r="K12" i="7"/>
  <c r="G11" i="7"/>
  <c r="H11" i="7"/>
  <c r="I11" i="7"/>
  <c r="J11" i="7"/>
  <c r="J7" i="7" s="1"/>
  <c r="K11" i="7"/>
  <c r="K7" i="7" s="1"/>
  <c r="G10" i="7"/>
  <c r="H10" i="7"/>
  <c r="I10" i="7"/>
  <c r="J10" i="7"/>
  <c r="K10" i="7"/>
  <c r="G9" i="7"/>
  <c r="H9" i="7"/>
  <c r="I9" i="7"/>
  <c r="J9" i="7"/>
  <c r="K9" i="7"/>
  <c r="F15" i="7"/>
  <c r="F14" i="7"/>
  <c r="F6" i="7" s="1"/>
  <c r="F13" i="7"/>
  <c r="F12" i="7"/>
  <c r="F11" i="7"/>
  <c r="F10" i="7"/>
  <c r="F9" i="7"/>
  <c r="F60" i="7"/>
  <c r="J57" i="7"/>
  <c r="F56" i="7"/>
  <c r="J24" i="7"/>
  <c r="G7" i="7"/>
  <c r="F7" i="7"/>
  <c r="K92" i="36"/>
  <c r="K33" i="36" s="1"/>
  <c r="K117" i="36"/>
  <c r="G120" i="36"/>
  <c r="H120" i="36"/>
  <c r="I120" i="36"/>
  <c r="J120" i="36"/>
  <c r="F120" i="36"/>
  <c r="G116" i="36"/>
  <c r="G27" i="36" s="1"/>
  <c r="H116" i="36"/>
  <c r="H66" i="36" s="1"/>
  <c r="I116" i="36"/>
  <c r="K116" i="36" s="1"/>
  <c r="K66" i="36" s="1"/>
  <c r="J116" i="36"/>
  <c r="J66" i="36" s="1"/>
  <c r="F116" i="36"/>
  <c r="K60" i="48" l="1"/>
  <c r="J61" i="48"/>
  <c r="I38" i="48"/>
  <c r="K61" i="48"/>
  <c r="G40" i="48"/>
  <c r="G21" i="48"/>
  <c r="K38" i="48"/>
  <c r="I58" i="48"/>
  <c r="I40" i="48"/>
  <c r="K21" i="48"/>
  <c r="K60" i="57"/>
  <c r="I37" i="57"/>
  <c r="J20" i="57"/>
  <c r="J38" i="57"/>
  <c r="H60" i="57"/>
  <c r="G38" i="57"/>
  <c r="J63" i="57"/>
  <c r="K53" i="57"/>
  <c r="F37" i="57"/>
  <c r="G61" i="56"/>
  <c r="G63" i="56"/>
  <c r="G37" i="55"/>
  <c r="K7" i="55"/>
  <c r="I21" i="55"/>
  <c r="G62" i="55"/>
  <c r="J40" i="54"/>
  <c r="G6" i="54"/>
  <c r="G37" i="54"/>
  <c r="G39" i="54"/>
  <c r="H5" i="54"/>
  <c r="H37" i="54"/>
  <c r="I37" i="54"/>
  <c r="J4" i="54"/>
  <c r="J20" i="54"/>
  <c r="J22" i="54" s="1"/>
  <c r="G60" i="54"/>
  <c r="I38" i="54"/>
  <c r="F24" i="53"/>
  <c r="F25" i="53"/>
  <c r="F23" i="53"/>
  <c r="F19" i="53"/>
  <c r="H21" i="53"/>
  <c r="K24" i="53"/>
  <c r="K25" i="53"/>
  <c r="K23" i="53"/>
  <c r="J20" i="53"/>
  <c r="J22" i="53" s="1"/>
  <c r="H23" i="53"/>
  <c r="H24" i="53"/>
  <c r="B24" i="53" s="1"/>
  <c r="H25" i="53"/>
  <c r="D25" i="53" s="1"/>
  <c r="I20" i="53"/>
  <c r="G25" i="53"/>
  <c r="G23" i="53"/>
  <c r="G24" i="53"/>
  <c r="H20" i="53"/>
  <c r="H22" i="53" s="1"/>
  <c r="G61" i="53"/>
  <c r="F21" i="53"/>
  <c r="F22" i="53" s="1"/>
  <c r="G22" i="53"/>
  <c r="I41" i="53"/>
  <c r="G39" i="53"/>
  <c r="H63" i="53"/>
  <c r="I59" i="53"/>
  <c r="G58" i="53"/>
  <c r="H41" i="53"/>
  <c r="F58" i="53"/>
  <c r="H59" i="53"/>
  <c r="K53" i="53"/>
  <c r="I24" i="53"/>
  <c r="I25" i="53"/>
  <c r="I23" i="53"/>
  <c r="K7" i="53"/>
  <c r="J19" i="53"/>
  <c r="G41" i="53"/>
  <c r="A41" i="53" s="1"/>
  <c r="J37" i="53"/>
  <c r="F62" i="53"/>
  <c r="G52" i="53"/>
  <c r="J24" i="53"/>
  <c r="J25" i="53"/>
  <c r="J23" i="53"/>
  <c r="I19" i="53"/>
  <c r="F41" i="53"/>
  <c r="B41" i="53" s="1"/>
  <c r="I37" i="53"/>
  <c r="F52" i="53"/>
  <c r="K61" i="53"/>
  <c r="H22" i="52"/>
  <c r="J19" i="52"/>
  <c r="K21" i="52"/>
  <c r="I19" i="52"/>
  <c r="J21" i="52"/>
  <c r="F24" i="52"/>
  <c r="F25" i="52"/>
  <c r="F23" i="52"/>
  <c r="I21" i="52"/>
  <c r="K25" i="52"/>
  <c r="K23" i="52"/>
  <c r="K24" i="52"/>
  <c r="F22" i="52"/>
  <c r="J25" i="52"/>
  <c r="J23" i="52"/>
  <c r="J24" i="52"/>
  <c r="F61" i="52"/>
  <c r="K22" i="52"/>
  <c r="I25" i="52"/>
  <c r="I23" i="52"/>
  <c r="I24" i="52"/>
  <c r="J20" i="52"/>
  <c r="J22" i="52" s="1"/>
  <c r="H25" i="52"/>
  <c r="H23" i="52"/>
  <c r="H24" i="52"/>
  <c r="I20" i="52"/>
  <c r="G24" i="52"/>
  <c r="G25" i="52"/>
  <c r="G23" i="52"/>
  <c r="H37" i="52"/>
  <c r="K25" i="51"/>
  <c r="K23" i="51"/>
  <c r="K24" i="51"/>
  <c r="I62" i="51"/>
  <c r="J21" i="51"/>
  <c r="F19" i="51"/>
  <c r="J25" i="51"/>
  <c r="J23" i="51"/>
  <c r="J24" i="51"/>
  <c r="F20" i="51"/>
  <c r="I25" i="51"/>
  <c r="I23" i="51"/>
  <c r="I24" i="51"/>
  <c r="F21" i="51"/>
  <c r="K20" i="51"/>
  <c r="H24" i="51"/>
  <c r="H25" i="51"/>
  <c r="H23" i="51"/>
  <c r="J20" i="51"/>
  <c r="J22" i="51" s="1"/>
  <c r="G25" i="51"/>
  <c r="G23" i="51"/>
  <c r="G24" i="51"/>
  <c r="I20" i="51"/>
  <c r="I22" i="51" s="1"/>
  <c r="H22" i="51"/>
  <c r="I61" i="51"/>
  <c r="I60" i="51"/>
  <c r="J7" i="51"/>
  <c r="G22" i="51"/>
  <c r="K39" i="51"/>
  <c r="F24" i="51"/>
  <c r="F25" i="51"/>
  <c r="F23" i="51"/>
  <c r="K59" i="51"/>
  <c r="J5" i="51"/>
  <c r="K19" i="51"/>
  <c r="J40" i="51"/>
  <c r="G60" i="51"/>
  <c r="J20" i="50"/>
  <c r="F23" i="50"/>
  <c r="F25" i="50"/>
  <c r="F24" i="50"/>
  <c r="I20" i="50"/>
  <c r="I22" i="50" s="1"/>
  <c r="H20" i="50"/>
  <c r="H22" i="50" s="1"/>
  <c r="J40" i="50"/>
  <c r="H21" i="50"/>
  <c r="F22" i="50"/>
  <c r="J19" i="50"/>
  <c r="H23" i="50"/>
  <c r="H25" i="50"/>
  <c r="H24" i="50"/>
  <c r="G23" i="50"/>
  <c r="G25" i="50"/>
  <c r="G24" i="50"/>
  <c r="H19" i="50"/>
  <c r="H6" i="50"/>
  <c r="J62" i="50"/>
  <c r="J52" i="50"/>
  <c r="J58" i="50"/>
  <c r="J25" i="50"/>
  <c r="J24" i="50"/>
  <c r="J23" i="50"/>
  <c r="I25" i="50"/>
  <c r="I23" i="50"/>
  <c r="I24" i="50"/>
  <c r="I52" i="49"/>
  <c r="I60" i="49"/>
  <c r="I63" i="49"/>
  <c r="F37" i="49"/>
  <c r="I20" i="49"/>
  <c r="G25" i="49"/>
  <c r="G23" i="49"/>
  <c r="G24" i="49"/>
  <c r="I58" i="49"/>
  <c r="A58" i="49" s="1"/>
  <c r="G52" i="49"/>
  <c r="G60" i="49"/>
  <c r="D60" i="49" s="1"/>
  <c r="G63" i="49"/>
  <c r="B63" i="49" s="1"/>
  <c r="J25" i="49"/>
  <c r="J23" i="49"/>
  <c r="J24" i="49"/>
  <c r="I25" i="49"/>
  <c r="I23" i="49"/>
  <c r="I24" i="49"/>
  <c r="K5" i="49"/>
  <c r="J20" i="49"/>
  <c r="H25" i="49"/>
  <c r="H23" i="49"/>
  <c r="D23" i="49" s="1"/>
  <c r="H24" i="49"/>
  <c r="J38" i="49"/>
  <c r="H52" i="49"/>
  <c r="H60" i="49"/>
  <c r="H63" i="49"/>
  <c r="H20" i="49"/>
  <c r="F52" i="49"/>
  <c r="F63" i="49"/>
  <c r="F60" i="49"/>
  <c r="H58" i="49"/>
  <c r="K62" i="49"/>
  <c r="K53" i="49"/>
  <c r="J19" i="49"/>
  <c r="J37" i="49"/>
  <c r="C37" i="49" s="1"/>
  <c r="F59" i="49"/>
  <c r="F61" i="49"/>
  <c r="F62" i="49"/>
  <c r="J62" i="49"/>
  <c r="J53" i="49"/>
  <c r="F4" i="49"/>
  <c r="I19" i="49"/>
  <c r="K59" i="49"/>
  <c r="K61" i="49"/>
  <c r="B61" i="49" s="1"/>
  <c r="I62" i="49"/>
  <c r="D62" i="49" s="1"/>
  <c r="I53" i="49"/>
  <c r="G59" i="49"/>
  <c r="G61" i="49"/>
  <c r="F5" i="49"/>
  <c r="J21" i="49"/>
  <c r="H19" i="49"/>
  <c r="H39" i="49"/>
  <c r="J59" i="49"/>
  <c r="J61" i="49"/>
  <c r="H62" i="49"/>
  <c r="H53" i="49"/>
  <c r="G22" i="49"/>
  <c r="H6" i="49"/>
  <c r="F25" i="49"/>
  <c r="F23" i="49"/>
  <c r="F24" i="49"/>
  <c r="I21" i="49"/>
  <c r="G19" i="49"/>
  <c r="K41" i="49"/>
  <c r="I59" i="49"/>
  <c r="I61" i="49"/>
  <c r="G62" i="49"/>
  <c r="G53" i="49"/>
  <c r="J52" i="49"/>
  <c r="J60" i="49"/>
  <c r="J63" i="49"/>
  <c r="H21" i="49"/>
  <c r="K24" i="49"/>
  <c r="K25" i="49"/>
  <c r="K23" i="49"/>
  <c r="H59" i="49"/>
  <c r="H61" i="49"/>
  <c r="K52" i="49"/>
  <c r="K60" i="49"/>
  <c r="K63" i="49"/>
  <c r="K25" i="42"/>
  <c r="K23" i="42"/>
  <c r="K24" i="42"/>
  <c r="G5" i="42"/>
  <c r="G24" i="42"/>
  <c r="G25" i="42"/>
  <c r="G23" i="42"/>
  <c r="G20" i="42"/>
  <c r="G22" i="42" s="1"/>
  <c r="G54" i="42"/>
  <c r="H25" i="42"/>
  <c r="H23" i="42"/>
  <c r="D23" i="42" s="1"/>
  <c r="H24" i="42"/>
  <c r="H20" i="42"/>
  <c r="I7" i="42"/>
  <c r="I25" i="42"/>
  <c r="I23" i="42"/>
  <c r="I24" i="42"/>
  <c r="I20" i="42"/>
  <c r="I22" i="42" s="1"/>
  <c r="I37" i="42"/>
  <c r="I39" i="42"/>
  <c r="I41" i="42"/>
  <c r="J54" i="42"/>
  <c r="F19" i="42"/>
  <c r="F21" i="42"/>
  <c r="G19" i="42"/>
  <c r="G21" i="42"/>
  <c r="I38" i="42"/>
  <c r="G39" i="42"/>
  <c r="G41" i="42"/>
  <c r="J24" i="42"/>
  <c r="J25" i="42"/>
  <c r="J23" i="42"/>
  <c r="J62" i="42"/>
  <c r="K20" i="42"/>
  <c r="H19" i="42"/>
  <c r="H21" i="42"/>
  <c r="J38" i="42"/>
  <c r="H63" i="42"/>
  <c r="H59" i="42"/>
  <c r="J5" i="42"/>
  <c r="J7" i="42"/>
  <c r="J19" i="42"/>
  <c r="J21" i="42"/>
  <c r="J52" i="42"/>
  <c r="J58" i="42"/>
  <c r="K5" i="42"/>
  <c r="K7" i="42"/>
  <c r="K19" i="42"/>
  <c r="K21" i="42"/>
  <c r="K40" i="42"/>
  <c r="F24" i="42"/>
  <c r="F25" i="42"/>
  <c r="F23" i="42"/>
  <c r="F20" i="42"/>
  <c r="H53" i="42"/>
  <c r="J7" i="46"/>
  <c r="J19" i="46"/>
  <c r="J21" i="46"/>
  <c r="H24" i="46"/>
  <c r="H25" i="46"/>
  <c r="H23" i="46"/>
  <c r="H20" i="46"/>
  <c r="H22" i="46" s="1"/>
  <c r="I23" i="46"/>
  <c r="I24" i="46"/>
  <c r="I25" i="46"/>
  <c r="I20" i="46"/>
  <c r="D20" i="46" s="1"/>
  <c r="J24" i="46"/>
  <c r="J25" i="46"/>
  <c r="J23" i="46"/>
  <c r="J20" i="46"/>
  <c r="J22" i="46" s="1"/>
  <c r="G22" i="46"/>
  <c r="K24" i="46"/>
  <c r="K25" i="46"/>
  <c r="K23" i="46"/>
  <c r="K20" i="46"/>
  <c r="K22" i="46" s="1"/>
  <c r="F19" i="46"/>
  <c r="F22" i="46" s="1"/>
  <c r="F21" i="46"/>
  <c r="K37" i="46"/>
  <c r="G19" i="46"/>
  <c r="G21" i="46"/>
  <c r="I37" i="46"/>
  <c r="H59" i="46"/>
  <c r="H19" i="46"/>
  <c r="H21" i="46"/>
  <c r="F25" i="46"/>
  <c r="F23" i="46"/>
  <c r="F24" i="46"/>
  <c r="G24" i="46"/>
  <c r="G25" i="46"/>
  <c r="G23" i="46"/>
  <c r="I19" i="46"/>
  <c r="I21" i="46"/>
  <c r="H20" i="45"/>
  <c r="I5" i="45"/>
  <c r="F24" i="45"/>
  <c r="F25" i="45"/>
  <c r="F23" i="45"/>
  <c r="F20" i="45"/>
  <c r="H25" i="45"/>
  <c r="H23" i="45"/>
  <c r="H24" i="45"/>
  <c r="C24" i="45" s="1"/>
  <c r="J25" i="45"/>
  <c r="B25" i="45" s="1"/>
  <c r="J23" i="45"/>
  <c r="C23" i="45" s="1"/>
  <c r="J24" i="45"/>
  <c r="J20" i="45"/>
  <c r="F60" i="45"/>
  <c r="K25" i="45"/>
  <c r="K23" i="45"/>
  <c r="K24" i="45"/>
  <c r="K20" i="45"/>
  <c r="K22" i="45" s="1"/>
  <c r="I25" i="45"/>
  <c r="I23" i="45"/>
  <c r="I24" i="45"/>
  <c r="F5" i="45"/>
  <c r="D5" i="45" s="1"/>
  <c r="F7" i="45"/>
  <c r="D7" i="45" s="1"/>
  <c r="F19" i="45"/>
  <c r="F21" i="45"/>
  <c r="G37" i="45"/>
  <c r="G19" i="45"/>
  <c r="G21" i="45"/>
  <c r="H37" i="45"/>
  <c r="H41" i="45"/>
  <c r="F58" i="45"/>
  <c r="F52" i="45"/>
  <c r="H5" i="45"/>
  <c r="H7" i="45"/>
  <c r="H19" i="45"/>
  <c r="H21" i="45"/>
  <c r="G58" i="45"/>
  <c r="G52" i="45"/>
  <c r="G54" i="45"/>
  <c r="G25" i="45"/>
  <c r="G23" i="45"/>
  <c r="G24" i="45"/>
  <c r="I19" i="45"/>
  <c r="I22" i="45" s="1"/>
  <c r="I21" i="45"/>
  <c r="B21" i="45" s="1"/>
  <c r="J21" i="45"/>
  <c r="K37" i="45"/>
  <c r="G20" i="45"/>
  <c r="G22" i="45" s="1"/>
  <c r="I38" i="45"/>
  <c r="K21" i="45"/>
  <c r="J4" i="41"/>
  <c r="J38" i="41"/>
  <c r="F24" i="41"/>
  <c r="F25" i="41"/>
  <c r="F23" i="41"/>
  <c r="F20" i="41"/>
  <c r="J6" i="41"/>
  <c r="G7" i="41"/>
  <c r="G24" i="41"/>
  <c r="G25" i="41"/>
  <c r="D25" i="41" s="1"/>
  <c r="G23" i="41"/>
  <c r="A23" i="41" s="1"/>
  <c r="G20" i="41"/>
  <c r="G22" i="41" s="1"/>
  <c r="F37" i="41"/>
  <c r="H4" i="41"/>
  <c r="H24" i="41"/>
  <c r="H25" i="41"/>
  <c r="H23" i="41"/>
  <c r="H20" i="41"/>
  <c r="H22" i="41" s="1"/>
  <c r="I25" i="41"/>
  <c r="I23" i="41"/>
  <c r="I24" i="41"/>
  <c r="I20" i="41"/>
  <c r="I22" i="41" s="1"/>
  <c r="J25" i="41"/>
  <c r="J23" i="41"/>
  <c r="J24" i="41"/>
  <c r="J20" i="41"/>
  <c r="J22" i="41" s="1"/>
  <c r="I39" i="41"/>
  <c r="K63" i="41"/>
  <c r="K58" i="41"/>
  <c r="K59" i="41"/>
  <c r="K6" i="41"/>
  <c r="K25" i="41"/>
  <c r="K23" i="41"/>
  <c r="K24" i="41"/>
  <c r="K20" i="41"/>
  <c r="K22" i="41" s="1"/>
  <c r="F21" i="41"/>
  <c r="G21" i="41"/>
  <c r="G41" i="41"/>
  <c r="F25" i="40"/>
  <c r="F23" i="40"/>
  <c r="F24" i="40"/>
  <c r="F20" i="40"/>
  <c r="F22" i="40" s="1"/>
  <c r="J37" i="40"/>
  <c r="J41" i="40"/>
  <c r="G24" i="40"/>
  <c r="G25" i="40"/>
  <c r="G23" i="40"/>
  <c r="B23" i="40" s="1"/>
  <c r="G20" i="40"/>
  <c r="H25" i="40"/>
  <c r="H24" i="40"/>
  <c r="H23" i="40"/>
  <c r="H20" i="40"/>
  <c r="I4" i="40"/>
  <c r="I24" i="40"/>
  <c r="I25" i="40"/>
  <c r="I23" i="40"/>
  <c r="I20" i="40"/>
  <c r="I22" i="40" s="1"/>
  <c r="J6" i="40"/>
  <c r="J5" i="40"/>
  <c r="J24" i="40"/>
  <c r="J25" i="40"/>
  <c r="J23" i="40"/>
  <c r="J20" i="40"/>
  <c r="J22" i="40" s="1"/>
  <c r="K4" i="40"/>
  <c r="K24" i="40"/>
  <c r="K25" i="40"/>
  <c r="K23" i="40"/>
  <c r="K20" i="40"/>
  <c r="K22" i="40" s="1"/>
  <c r="H63" i="40"/>
  <c r="H59" i="40"/>
  <c r="G19" i="40"/>
  <c r="G21" i="40"/>
  <c r="K38" i="40"/>
  <c r="H19" i="40"/>
  <c r="H21" i="40"/>
  <c r="H53" i="40"/>
  <c r="H21" i="39"/>
  <c r="F25" i="39"/>
  <c r="F23" i="39"/>
  <c r="F24" i="39"/>
  <c r="G24" i="39"/>
  <c r="G25" i="39"/>
  <c r="G23" i="39"/>
  <c r="G20" i="39"/>
  <c r="G22" i="39" s="1"/>
  <c r="G52" i="39"/>
  <c r="H24" i="39"/>
  <c r="H25" i="39"/>
  <c r="H23" i="39"/>
  <c r="A23" i="39" s="1"/>
  <c r="H20" i="39"/>
  <c r="H22" i="39" s="1"/>
  <c r="H52" i="39"/>
  <c r="I60" i="39"/>
  <c r="J4" i="39"/>
  <c r="I24" i="39"/>
  <c r="I23" i="39"/>
  <c r="I25" i="39"/>
  <c r="I20" i="39"/>
  <c r="I22" i="39" s="1"/>
  <c r="I58" i="39"/>
  <c r="I52" i="39"/>
  <c r="F20" i="39"/>
  <c r="J24" i="39"/>
  <c r="J25" i="39"/>
  <c r="J23" i="39"/>
  <c r="J20" i="39"/>
  <c r="J22" i="39" s="1"/>
  <c r="K4" i="39"/>
  <c r="K24" i="39"/>
  <c r="K23" i="39"/>
  <c r="K25" i="39"/>
  <c r="K20" i="39"/>
  <c r="K22" i="39" s="1"/>
  <c r="K59" i="39"/>
  <c r="F19" i="39"/>
  <c r="F21" i="39"/>
  <c r="I41" i="39"/>
  <c r="D41" i="39" s="1"/>
  <c r="G19" i="39"/>
  <c r="G21" i="39"/>
  <c r="H19" i="38"/>
  <c r="H21" i="38"/>
  <c r="F25" i="38"/>
  <c r="F23" i="38"/>
  <c r="F24" i="38"/>
  <c r="F20" i="38"/>
  <c r="G25" i="38"/>
  <c r="G23" i="38"/>
  <c r="D23" i="38" s="1"/>
  <c r="G24" i="38"/>
  <c r="G20" i="38"/>
  <c r="G22" i="38" s="1"/>
  <c r="H24" i="38"/>
  <c r="H25" i="38"/>
  <c r="H23" i="38"/>
  <c r="H20" i="38"/>
  <c r="H22" i="38" s="1"/>
  <c r="I24" i="38"/>
  <c r="I23" i="38"/>
  <c r="I25" i="38"/>
  <c r="I20" i="38"/>
  <c r="I22" i="38" s="1"/>
  <c r="J23" i="38"/>
  <c r="J24" i="38"/>
  <c r="J25" i="38"/>
  <c r="J20" i="38"/>
  <c r="J22" i="38" s="1"/>
  <c r="G52" i="38"/>
  <c r="G63" i="38"/>
  <c r="K24" i="38"/>
  <c r="K25" i="38"/>
  <c r="K23" i="38"/>
  <c r="K20" i="38"/>
  <c r="K22" i="38" s="1"/>
  <c r="H58" i="38"/>
  <c r="H52" i="38"/>
  <c r="F21" i="38"/>
  <c r="G19" i="38"/>
  <c r="G21" i="38"/>
  <c r="I40" i="38"/>
  <c r="G19" i="36"/>
  <c r="I39" i="36"/>
  <c r="H58" i="36"/>
  <c r="F7" i="36"/>
  <c r="F37" i="36"/>
  <c r="F63" i="36"/>
  <c r="F60" i="36"/>
  <c r="F52" i="36"/>
  <c r="G58" i="36"/>
  <c r="F58" i="36"/>
  <c r="F59" i="36"/>
  <c r="F61" i="36"/>
  <c r="C61" i="36" s="1"/>
  <c r="F62" i="36"/>
  <c r="J60" i="36"/>
  <c r="J52" i="36"/>
  <c r="J63" i="36"/>
  <c r="I63" i="36"/>
  <c r="I60" i="36"/>
  <c r="I52" i="36"/>
  <c r="J59" i="36"/>
  <c r="J61" i="36"/>
  <c r="I59" i="36"/>
  <c r="I61" i="36"/>
  <c r="G63" i="36"/>
  <c r="G60" i="36"/>
  <c r="G52" i="36"/>
  <c r="H63" i="36"/>
  <c r="H60" i="36"/>
  <c r="H52" i="36"/>
  <c r="F27" i="36"/>
  <c r="J53" i="36"/>
  <c r="J62" i="36"/>
  <c r="G20" i="36"/>
  <c r="G22" i="36" s="1"/>
  <c r="H61" i="36"/>
  <c r="H59" i="36"/>
  <c r="K53" i="36"/>
  <c r="G61" i="36"/>
  <c r="G59" i="36"/>
  <c r="H53" i="36"/>
  <c r="H62" i="36"/>
  <c r="K58" i="36"/>
  <c r="G23" i="36"/>
  <c r="G25" i="36"/>
  <c r="G24" i="36"/>
  <c r="K21" i="36"/>
  <c r="K40" i="26"/>
  <c r="K19" i="26"/>
  <c r="K21" i="26"/>
  <c r="F37" i="26"/>
  <c r="I63" i="26"/>
  <c r="I54" i="26"/>
  <c r="F24" i="26"/>
  <c r="F25" i="26"/>
  <c r="F23" i="26"/>
  <c r="D23" i="26" s="1"/>
  <c r="F20" i="26"/>
  <c r="G24" i="26"/>
  <c r="G23" i="26"/>
  <c r="G25" i="26"/>
  <c r="G20" i="26"/>
  <c r="H20" i="26"/>
  <c r="F58" i="26"/>
  <c r="K4" i="26"/>
  <c r="I25" i="26"/>
  <c r="I23" i="26"/>
  <c r="I24" i="26"/>
  <c r="I20" i="26"/>
  <c r="I22" i="26" s="1"/>
  <c r="F60" i="26"/>
  <c r="J25" i="26"/>
  <c r="J23" i="26"/>
  <c r="J24" i="26"/>
  <c r="J20" i="26"/>
  <c r="J22" i="26" s="1"/>
  <c r="K23" i="26"/>
  <c r="K25" i="26"/>
  <c r="K24" i="26"/>
  <c r="K20" i="26"/>
  <c r="K22" i="26" s="1"/>
  <c r="F5" i="26"/>
  <c r="F7" i="26"/>
  <c r="F19" i="26"/>
  <c r="F22" i="26" s="1"/>
  <c r="F21" i="26"/>
  <c r="I37" i="26"/>
  <c r="G19" i="26"/>
  <c r="G21" i="26"/>
  <c r="I4" i="26"/>
  <c r="H24" i="26"/>
  <c r="H25" i="26"/>
  <c r="H23" i="26"/>
  <c r="H19" i="26"/>
  <c r="H21" i="26"/>
  <c r="K24" i="32"/>
  <c r="K23" i="32"/>
  <c r="K25" i="32"/>
  <c r="K20" i="32"/>
  <c r="J25" i="32"/>
  <c r="J23" i="32"/>
  <c r="J24" i="32"/>
  <c r="J20" i="32"/>
  <c r="J22" i="32" s="1"/>
  <c r="F19" i="32"/>
  <c r="F21" i="32"/>
  <c r="H21" i="32"/>
  <c r="I21" i="32"/>
  <c r="J60" i="32"/>
  <c r="J19" i="32"/>
  <c r="J21" i="32"/>
  <c r="G52" i="32"/>
  <c r="G54" i="32"/>
  <c r="K19" i="32"/>
  <c r="K21" i="32"/>
  <c r="H58" i="32"/>
  <c r="H52" i="32"/>
  <c r="H54" i="32"/>
  <c r="F24" i="32"/>
  <c r="F25" i="32"/>
  <c r="F23" i="32"/>
  <c r="F20" i="32"/>
  <c r="J41" i="32"/>
  <c r="G4" i="32"/>
  <c r="G25" i="32"/>
  <c r="G23" i="32"/>
  <c r="G24" i="32"/>
  <c r="G20" i="32"/>
  <c r="G22" i="32" s="1"/>
  <c r="H25" i="32"/>
  <c r="H23" i="32"/>
  <c r="H24" i="32"/>
  <c r="H20" i="32"/>
  <c r="H22" i="32" s="1"/>
  <c r="J56" i="32"/>
  <c r="I25" i="32"/>
  <c r="I23" i="32"/>
  <c r="I24" i="32"/>
  <c r="I20" i="32"/>
  <c r="J25" i="35"/>
  <c r="J23" i="35"/>
  <c r="J24" i="35"/>
  <c r="J20" i="35"/>
  <c r="G63" i="35"/>
  <c r="H19" i="35"/>
  <c r="H21" i="35"/>
  <c r="J37" i="35"/>
  <c r="H39" i="35"/>
  <c r="H57" i="35"/>
  <c r="A57" i="35" s="1"/>
  <c r="I19" i="35"/>
  <c r="B19" i="35" s="1"/>
  <c r="I21" i="35"/>
  <c r="K24" i="35"/>
  <c r="K25" i="35"/>
  <c r="K23" i="35"/>
  <c r="J19" i="35"/>
  <c r="J21" i="35"/>
  <c r="K4" i="35"/>
  <c r="K19" i="35"/>
  <c r="K22" i="35" s="1"/>
  <c r="K21" i="35"/>
  <c r="F4" i="35"/>
  <c r="F25" i="35"/>
  <c r="D25" i="35" s="1"/>
  <c r="F23" i="35"/>
  <c r="D23" i="35" s="1"/>
  <c r="F24" i="35"/>
  <c r="F20" i="35"/>
  <c r="F22" i="35" s="1"/>
  <c r="F39" i="35"/>
  <c r="F41" i="35"/>
  <c r="I52" i="35"/>
  <c r="G4" i="35"/>
  <c r="G25" i="35"/>
  <c r="G23" i="35"/>
  <c r="G24" i="35"/>
  <c r="G20" i="35"/>
  <c r="G22" i="35" s="1"/>
  <c r="G41" i="35"/>
  <c r="D41" i="35" s="1"/>
  <c r="J63" i="35"/>
  <c r="J54" i="35"/>
  <c r="J58" i="35"/>
  <c r="H25" i="35"/>
  <c r="H23" i="35"/>
  <c r="H24" i="35"/>
  <c r="H20" i="35"/>
  <c r="H22" i="35" s="1"/>
  <c r="I25" i="35"/>
  <c r="I23" i="35"/>
  <c r="I24" i="35"/>
  <c r="I20" i="35"/>
  <c r="I22" i="35" s="1"/>
  <c r="J6" i="47"/>
  <c r="K20" i="47"/>
  <c r="H19" i="47"/>
  <c r="H21" i="47"/>
  <c r="J25" i="47"/>
  <c r="J23" i="47"/>
  <c r="J24" i="47"/>
  <c r="I21" i="47"/>
  <c r="J7" i="47"/>
  <c r="J19" i="47"/>
  <c r="J22" i="47" s="1"/>
  <c r="J21" i="47"/>
  <c r="K39" i="47"/>
  <c r="K59" i="47"/>
  <c r="F23" i="47"/>
  <c r="F25" i="47"/>
  <c r="F20" i="47"/>
  <c r="F22" i="47" s="1"/>
  <c r="K53" i="47"/>
  <c r="G23" i="47"/>
  <c r="G25" i="47"/>
  <c r="G20" i="47"/>
  <c r="G22" i="47" s="1"/>
  <c r="H37" i="47"/>
  <c r="H39" i="47"/>
  <c r="H41" i="47"/>
  <c r="D41" i="47" s="1"/>
  <c r="K25" i="47"/>
  <c r="K23" i="47"/>
  <c r="K24" i="47"/>
  <c r="K6" i="47"/>
  <c r="K21" i="47"/>
  <c r="H23" i="47"/>
  <c r="H25" i="47"/>
  <c r="H20" i="47"/>
  <c r="H22" i="47" s="1"/>
  <c r="K5" i="47"/>
  <c r="K19" i="47"/>
  <c r="I23" i="47"/>
  <c r="I25" i="47"/>
  <c r="I24" i="47"/>
  <c r="I20" i="47"/>
  <c r="J24" i="22"/>
  <c r="J25" i="22"/>
  <c r="J23" i="22"/>
  <c r="K24" i="22"/>
  <c r="K25" i="22"/>
  <c r="K23" i="22"/>
  <c r="K20" i="22"/>
  <c r="K22" i="22" s="1"/>
  <c r="G5" i="22"/>
  <c r="G7" i="22"/>
  <c r="G19" i="22"/>
  <c r="G21" i="22"/>
  <c r="C21" i="22"/>
  <c r="I52" i="22"/>
  <c r="I4" i="22"/>
  <c r="I19" i="22"/>
  <c r="B19" i="22" s="1"/>
  <c r="I21" i="22"/>
  <c r="A21" i="22" s="1"/>
  <c r="J54" i="22"/>
  <c r="I24" i="22"/>
  <c r="I23" i="22"/>
  <c r="I25" i="22"/>
  <c r="J5" i="22"/>
  <c r="J7" i="22"/>
  <c r="J19" i="22"/>
  <c r="J22" i="22" s="1"/>
  <c r="J21" i="22"/>
  <c r="K52" i="22"/>
  <c r="K54" i="22"/>
  <c r="K59" i="22"/>
  <c r="K5" i="22"/>
  <c r="K7" i="22"/>
  <c r="K19" i="22"/>
  <c r="K21" i="22"/>
  <c r="J53" i="22"/>
  <c r="F20" i="22"/>
  <c r="G54" i="22"/>
  <c r="G25" i="22"/>
  <c r="G23" i="22"/>
  <c r="G24" i="22"/>
  <c r="G20" i="22"/>
  <c r="G22" i="22" s="1"/>
  <c r="I39" i="22"/>
  <c r="K60" i="22"/>
  <c r="H54" i="22"/>
  <c r="F25" i="22"/>
  <c r="F23" i="22"/>
  <c r="F24" i="22"/>
  <c r="K53" i="22"/>
  <c r="H25" i="22"/>
  <c r="H24" i="22"/>
  <c r="H23" i="22"/>
  <c r="H20" i="22"/>
  <c r="H22" i="22" s="1"/>
  <c r="J37" i="22"/>
  <c r="J39" i="22"/>
  <c r="I6" i="31"/>
  <c r="K23" i="31"/>
  <c r="K25" i="31"/>
  <c r="K20" i="31"/>
  <c r="H60" i="31"/>
  <c r="I20" i="31"/>
  <c r="J23" i="31"/>
  <c r="J24" i="31"/>
  <c r="J25" i="31"/>
  <c r="J56" i="31"/>
  <c r="G19" i="31"/>
  <c r="G21" i="31"/>
  <c r="I4" i="31"/>
  <c r="I7" i="31"/>
  <c r="I19" i="31"/>
  <c r="I22" i="31" s="1"/>
  <c r="I21" i="31"/>
  <c r="J4" i="31"/>
  <c r="J7" i="31"/>
  <c r="J19" i="31"/>
  <c r="J22" i="31" s="1"/>
  <c r="J21" i="31"/>
  <c r="D21" i="31" s="1"/>
  <c r="F41" i="31"/>
  <c r="B41" i="31" s="1"/>
  <c r="K19" i="31"/>
  <c r="K21" i="31"/>
  <c r="H53" i="31"/>
  <c r="F4" i="31"/>
  <c r="F7" i="31"/>
  <c r="F23" i="31"/>
  <c r="F25" i="31"/>
  <c r="F24" i="31"/>
  <c r="F20" i="31"/>
  <c r="F22" i="31" s="1"/>
  <c r="H37" i="31"/>
  <c r="H39" i="31"/>
  <c r="I24" i="31"/>
  <c r="I23" i="31"/>
  <c r="I25" i="31"/>
  <c r="G25" i="31"/>
  <c r="G23" i="31"/>
  <c r="G24" i="31"/>
  <c r="G20" i="31"/>
  <c r="H23" i="31"/>
  <c r="H25" i="31"/>
  <c r="B25" i="31" s="1"/>
  <c r="H24" i="31"/>
  <c r="H20" i="31"/>
  <c r="H22" i="31" s="1"/>
  <c r="K25" i="30"/>
  <c r="K23" i="30"/>
  <c r="K24" i="30"/>
  <c r="K20" i="30"/>
  <c r="I20" i="30"/>
  <c r="I22" i="30" s="1"/>
  <c r="F21" i="30"/>
  <c r="J63" i="30"/>
  <c r="G19" i="30"/>
  <c r="G21" i="30"/>
  <c r="I39" i="30"/>
  <c r="H19" i="30"/>
  <c r="H21" i="30"/>
  <c r="D21" i="30" s="1"/>
  <c r="J40" i="30"/>
  <c r="I19" i="30"/>
  <c r="I21" i="30"/>
  <c r="K39" i="30"/>
  <c r="K41" i="30"/>
  <c r="J5" i="30"/>
  <c r="J7" i="30"/>
  <c r="J19" i="30"/>
  <c r="J22" i="30" s="1"/>
  <c r="J21" i="30"/>
  <c r="H59" i="30"/>
  <c r="I24" i="30"/>
  <c r="D24" i="30" s="1"/>
  <c r="I25" i="30"/>
  <c r="I23" i="30"/>
  <c r="J24" i="30"/>
  <c r="J25" i="30"/>
  <c r="J23" i="30"/>
  <c r="K19" i="30"/>
  <c r="K21" i="30"/>
  <c r="H53" i="30"/>
  <c r="F7" i="30"/>
  <c r="F24" i="30"/>
  <c r="F25" i="30"/>
  <c r="A25" i="30" s="1"/>
  <c r="F23" i="30"/>
  <c r="A23" i="30" s="1"/>
  <c r="F20" i="30"/>
  <c r="G24" i="30"/>
  <c r="G25" i="30"/>
  <c r="G23" i="30"/>
  <c r="G20" i="30"/>
  <c r="H24" i="30"/>
  <c r="H25" i="30"/>
  <c r="H23" i="30"/>
  <c r="H20" i="30"/>
  <c r="I25" i="3"/>
  <c r="I23" i="3"/>
  <c r="I24" i="3"/>
  <c r="G53" i="3"/>
  <c r="J24" i="3"/>
  <c r="J25" i="3"/>
  <c r="J23" i="3"/>
  <c r="J20" i="3"/>
  <c r="J22" i="3" s="1"/>
  <c r="I20" i="3"/>
  <c r="K24" i="3"/>
  <c r="K25" i="3"/>
  <c r="K23" i="3"/>
  <c r="D23" i="3" s="1"/>
  <c r="K20" i="3"/>
  <c r="J59" i="3"/>
  <c r="G58" i="3"/>
  <c r="I40" i="3"/>
  <c r="H19" i="3"/>
  <c r="H21" i="3"/>
  <c r="J39" i="3"/>
  <c r="I5" i="3"/>
  <c r="I7" i="3"/>
  <c r="I19" i="3"/>
  <c r="I21" i="3"/>
  <c r="K19" i="3"/>
  <c r="K21" i="3"/>
  <c r="G39" i="3"/>
  <c r="G41" i="3"/>
  <c r="F23" i="3"/>
  <c r="F24" i="3"/>
  <c r="F25" i="3"/>
  <c r="F20" i="3"/>
  <c r="F22" i="3" s="1"/>
  <c r="G25" i="3"/>
  <c r="G23" i="3"/>
  <c r="G24" i="3"/>
  <c r="G20" i="3"/>
  <c r="G22" i="3" s="1"/>
  <c r="H25" i="3"/>
  <c r="H23" i="3"/>
  <c r="H24" i="3"/>
  <c r="H20" i="3"/>
  <c r="F63" i="3"/>
  <c r="J38" i="48"/>
  <c r="H62" i="48"/>
  <c r="J5" i="48"/>
  <c r="H21" i="48"/>
  <c r="J7" i="48"/>
  <c r="G19" i="48"/>
  <c r="J53" i="48"/>
  <c r="H19" i="48"/>
  <c r="I19" i="48"/>
  <c r="I4" i="48"/>
  <c r="K4" i="48"/>
  <c r="C4" i="48" s="1"/>
  <c r="J19" i="48"/>
  <c r="J52" i="48"/>
  <c r="G61" i="48"/>
  <c r="J4" i="48"/>
  <c r="K59" i="48"/>
  <c r="G39" i="48"/>
  <c r="F6" i="57"/>
  <c r="F58" i="57"/>
  <c r="I6" i="57"/>
  <c r="H40" i="57"/>
  <c r="F5" i="57"/>
  <c r="J5" i="57"/>
  <c r="F21" i="57"/>
  <c r="K20" i="57"/>
  <c r="F63" i="57"/>
  <c r="J61" i="57"/>
  <c r="K58" i="57"/>
  <c r="I60" i="57"/>
  <c r="H37" i="57"/>
  <c r="F4" i="57"/>
  <c r="G5" i="57"/>
  <c r="H39" i="57"/>
  <c r="H62" i="57"/>
  <c r="I5" i="57"/>
  <c r="K62" i="57"/>
  <c r="K21" i="57"/>
  <c r="F52" i="56"/>
  <c r="H63" i="56"/>
  <c r="F60" i="56"/>
  <c r="F61" i="56"/>
  <c r="J62" i="56"/>
  <c r="D62" i="56" s="1"/>
  <c r="F6" i="56"/>
  <c r="F5" i="56"/>
  <c r="F20" i="29"/>
  <c r="F25" i="29"/>
  <c r="F23" i="29"/>
  <c r="F24" i="29"/>
  <c r="C24" i="29" s="1"/>
  <c r="G25" i="29"/>
  <c r="G23" i="29"/>
  <c r="G24" i="29"/>
  <c r="H25" i="29"/>
  <c r="A25" i="29" s="1"/>
  <c r="H23" i="29"/>
  <c r="H24" i="29"/>
  <c r="H20" i="29"/>
  <c r="H22" i="29" s="1"/>
  <c r="J52" i="29"/>
  <c r="J63" i="29"/>
  <c r="I25" i="29"/>
  <c r="I23" i="29"/>
  <c r="I24" i="29"/>
  <c r="I20" i="29"/>
  <c r="I22" i="29" s="1"/>
  <c r="J4" i="29"/>
  <c r="J25" i="29"/>
  <c r="J23" i="29"/>
  <c r="J24" i="29"/>
  <c r="J20" i="29"/>
  <c r="J22" i="29" s="1"/>
  <c r="G37" i="29"/>
  <c r="G41" i="29"/>
  <c r="F52" i="29"/>
  <c r="F54" i="29"/>
  <c r="K23" i="29"/>
  <c r="K25" i="29"/>
  <c r="K24" i="29"/>
  <c r="K20" i="29"/>
  <c r="K22" i="29" s="1"/>
  <c r="F7" i="29"/>
  <c r="F19" i="29"/>
  <c r="F21" i="29"/>
  <c r="H63" i="29"/>
  <c r="G5" i="29"/>
  <c r="C5" i="29" s="1"/>
  <c r="G7" i="29"/>
  <c r="G19" i="29"/>
  <c r="G22" i="29" s="1"/>
  <c r="G21" i="29"/>
  <c r="I54" i="29"/>
  <c r="J62" i="28"/>
  <c r="F4" i="28"/>
  <c r="F25" i="28"/>
  <c r="C25" i="28" s="1"/>
  <c r="F24" i="28"/>
  <c r="F23" i="28"/>
  <c r="F20" i="28"/>
  <c r="F22" i="28" s="1"/>
  <c r="F37" i="28"/>
  <c r="J53" i="28"/>
  <c r="J52" i="28"/>
  <c r="J54" i="28"/>
  <c r="G4" i="28"/>
  <c r="A4" i="28" s="1"/>
  <c r="G7" i="28"/>
  <c r="G23" i="28"/>
  <c r="G24" i="28"/>
  <c r="G25" i="28"/>
  <c r="G20" i="28"/>
  <c r="G22" i="28" s="1"/>
  <c r="K52" i="28"/>
  <c r="H20" i="28"/>
  <c r="H22" i="28" s="1"/>
  <c r="I4" i="28"/>
  <c r="I24" i="28"/>
  <c r="I23" i="28"/>
  <c r="I25" i="28"/>
  <c r="I20" i="28"/>
  <c r="I22" i="28" s="1"/>
  <c r="I60" i="28"/>
  <c r="J24" i="28"/>
  <c r="J25" i="28"/>
  <c r="J23" i="28"/>
  <c r="J20" i="28"/>
  <c r="J22" i="28" s="1"/>
  <c r="H58" i="28"/>
  <c r="H52" i="28"/>
  <c r="F61" i="28"/>
  <c r="D61" i="28" s="1"/>
  <c r="H4" i="28"/>
  <c r="B4" i="28" s="1"/>
  <c r="H24" i="28"/>
  <c r="H25" i="28"/>
  <c r="B25" i="28" s="1"/>
  <c r="H23" i="28"/>
  <c r="K24" i="28"/>
  <c r="K25" i="28"/>
  <c r="K23" i="28"/>
  <c r="K20" i="28"/>
  <c r="K22" i="28" s="1"/>
  <c r="F20" i="20"/>
  <c r="F24" i="20"/>
  <c r="F25" i="20"/>
  <c r="F23" i="20"/>
  <c r="F21" i="20"/>
  <c r="K25" i="20"/>
  <c r="K23" i="20"/>
  <c r="K24" i="20"/>
  <c r="J24" i="20"/>
  <c r="J25" i="20"/>
  <c r="J23" i="20"/>
  <c r="H20" i="20"/>
  <c r="I24" i="20"/>
  <c r="I25" i="20"/>
  <c r="I23" i="20"/>
  <c r="G20" i="20"/>
  <c r="H24" i="20"/>
  <c r="H25" i="20"/>
  <c r="H23" i="20"/>
  <c r="K21" i="20"/>
  <c r="I7" i="20"/>
  <c r="G24" i="20"/>
  <c r="G25" i="20"/>
  <c r="G23" i="20"/>
  <c r="J21" i="20"/>
  <c r="J22" i="20" s="1"/>
  <c r="K19" i="20"/>
  <c r="K22" i="20" s="1"/>
  <c r="I21" i="20"/>
  <c r="H21" i="20"/>
  <c r="J54" i="20"/>
  <c r="I53" i="20"/>
  <c r="F19" i="20"/>
  <c r="I19" i="20"/>
  <c r="I22" i="20" s="1"/>
  <c r="G21" i="20"/>
  <c r="H19" i="20"/>
  <c r="F20" i="16"/>
  <c r="G20" i="16"/>
  <c r="J59" i="16"/>
  <c r="J5" i="16"/>
  <c r="H25" i="16"/>
  <c r="H23" i="16"/>
  <c r="H24" i="16"/>
  <c r="K63" i="16"/>
  <c r="K55" i="16"/>
  <c r="I20" i="16"/>
  <c r="I22" i="16" s="1"/>
  <c r="K6" i="16"/>
  <c r="K25" i="16"/>
  <c r="K24" i="16"/>
  <c r="K23" i="16"/>
  <c r="F19" i="16"/>
  <c r="F21" i="16"/>
  <c r="G58" i="16"/>
  <c r="G52" i="16"/>
  <c r="K53" i="16"/>
  <c r="K4" i="16"/>
  <c r="F25" i="16"/>
  <c r="B25" i="16" s="1"/>
  <c r="F23" i="16"/>
  <c r="D23" i="16" s="1"/>
  <c r="F24" i="16"/>
  <c r="G25" i="16"/>
  <c r="D25" i="16" s="1"/>
  <c r="G23" i="16"/>
  <c r="G24" i="16"/>
  <c r="H20" i="16"/>
  <c r="H22" i="16" s="1"/>
  <c r="I24" i="16"/>
  <c r="I25" i="16"/>
  <c r="I23" i="16"/>
  <c r="J25" i="16"/>
  <c r="J24" i="16"/>
  <c r="J23" i="16"/>
  <c r="J20" i="16"/>
  <c r="J22" i="16" s="1"/>
  <c r="K54" i="16"/>
  <c r="K61" i="16"/>
  <c r="K56" i="16"/>
  <c r="F62" i="16"/>
  <c r="K20" i="16"/>
  <c r="K22" i="16" s="1"/>
  <c r="I55" i="16"/>
  <c r="F54" i="16"/>
  <c r="D54" i="16" s="1"/>
  <c r="G63" i="16"/>
  <c r="G19" i="16"/>
  <c r="G21" i="16"/>
  <c r="H58" i="16"/>
  <c r="H52" i="16"/>
  <c r="H54" i="16"/>
  <c r="F24" i="37"/>
  <c r="F25" i="37"/>
  <c r="F23" i="37"/>
  <c r="F20" i="37"/>
  <c r="G22" i="37"/>
  <c r="H25" i="37"/>
  <c r="H23" i="37"/>
  <c r="B23" i="37" s="1"/>
  <c r="H24" i="37"/>
  <c r="I22" i="37"/>
  <c r="I5" i="37"/>
  <c r="J23" i="37"/>
  <c r="D23" i="37" s="1"/>
  <c r="J25" i="37"/>
  <c r="J24" i="37"/>
  <c r="K61" i="37"/>
  <c r="F52" i="37"/>
  <c r="K22" i="37"/>
  <c r="G52" i="37"/>
  <c r="G54" i="37"/>
  <c r="F19" i="37"/>
  <c r="F21" i="37"/>
  <c r="F37" i="37"/>
  <c r="A37" i="37" s="1"/>
  <c r="H63" i="37"/>
  <c r="B63" i="37" s="1"/>
  <c r="H52" i="37"/>
  <c r="C52" i="37" s="1"/>
  <c r="G25" i="37"/>
  <c r="G23" i="37"/>
  <c r="G24" i="37"/>
  <c r="I25" i="37"/>
  <c r="I23" i="37"/>
  <c r="I24" i="37"/>
  <c r="J20" i="37"/>
  <c r="J22" i="37" s="1"/>
  <c r="F58" i="37"/>
  <c r="C58" i="37" s="1"/>
  <c r="F54" i="37"/>
  <c r="B54" i="37" s="1"/>
  <c r="K24" i="37"/>
  <c r="K25" i="37"/>
  <c r="K23" i="37"/>
  <c r="F60" i="37"/>
  <c r="G63" i="37"/>
  <c r="G19" i="37"/>
  <c r="G21" i="37"/>
  <c r="H37" i="37"/>
  <c r="I63" i="37"/>
  <c r="I58" i="37"/>
  <c r="I59" i="37"/>
  <c r="H4" i="37"/>
  <c r="H7" i="37"/>
  <c r="D7" i="37" s="1"/>
  <c r="H19" i="37"/>
  <c r="H22" i="37" s="1"/>
  <c r="H21" i="37"/>
  <c r="J63" i="37"/>
  <c r="J58" i="37"/>
  <c r="J52" i="37"/>
  <c r="J54" i="37"/>
  <c r="I7" i="37"/>
  <c r="I19" i="37"/>
  <c r="I21" i="37"/>
  <c r="K58" i="37"/>
  <c r="J52" i="21"/>
  <c r="I61" i="21"/>
  <c r="J59" i="21"/>
  <c r="K21" i="21"/>
  <c r="F7" i="21"/>
  <c r="F24" i="21"/>
  <c r="F25" i="21"/>
  <c r="F23" i="21"/>
  <c r="F20" i="21"/>
  <c r="H41" i="21"/>
  <c r="K52" i="21"/>
  <c r="J20" i="21"/>
  <c r="J22" i="21" s="1"/>
  <c r="K25" i="21"/>
  <c r="K24" i="21"/>
  <c r="K23" i="21"/>
  <c r="K59" i="21"/>
  <c r="J7" i="21"/>
  <c r="J21" i="21"/>
  <c r="A21" i="21" s="1"/>
  <c r="I52" i="21"/>
  <c r="A52" i="21" s="1"/>
  <c r="I62" i="21"/>
  <c r="B62" i="21" s="1"/>
  <c r="K7" i="21"/>
  <c r="G4" i="21"/>
  <c r="G24" i="21"/>
  <c r="G25" i="21"/>
  <c r="G23" i="21"/>
  <c r="G20" i="21"/>
  <c r="I37" i="21"/>
  <c r="I39" i="21"/>
  <c r="I41" i="21"/>
  <c r="I60" i="21"/>
  <c r="D60" i="21" s="1"/>
  <c r="H25" i="21"/>
  <c r="H23" i="21"/>
  <c r="H24" i="21"/>
  <c r="H20" i="21"/>
  <c r="H22" i="21" s="1"/>
  <c r="J37" i="21"/>
  <c r="J39" i="21"/>
  <c r="J41" i="21"/>
  <c r="J60" i="21"/>
  <c r="G63" i="21"/>
  <c r="J23" i="21"/>
  <c r="J25" i="21"/>
  <c r="J24" i="21"/>
  <c r="K20" i="21"/>
  <c r="K22" i="21" s="1"/>
  <c r="A19" i="21"/>
  <c r="G22" i="21"/>
  <c r="H57" i="21"/>
  <c r="J5" i="21"/>
  <c r="J19" i="21"/>
  <c r="B19" i="21" s="1"/>
  <c r="K19" i="21"/>
  <c r="I25" i="21"/>
  <c r="I23" i="21"/>
  <c r="I24" i="21"/>
  <c r="I20" i="21"/>
  <c r="I22" i="21" s="1"/>
  <c r="K37" i="21"/>
  <c r="K39" i="21"/>
  <c r="K41" i="21"/>
  <c r="K60" i="21"/>
  <c r="H63" i="21"/>
  <c r="G24" i="7"/>
  <c r="I54" i="7"/>
  <c r="K5" i="7"/>
  <c r="F19" i="7"/>
  <c r="H21" i="7"/>
  <c r="I60" i="7"/>
  <c r="G61" i="7"/>
  <c r="F20" i="7"/>
  <c r="G21" i="7"/>
  <c r="F21" i="7"/>
  <c r="B21" i="7" s="1"/>
  <c r="H19" i="7"/>
  <c r="G63" i="7"/>
  <c r="A63" i="7" s="1"/>
  <c r="H54" i="7"/>
  <c r="A60" i="7"/>
  <c r="B60" i="7"/>
  <c r="J38" i="7"/>
  <c r="F55" i="7"/>
  <c r="G19" i="7"/>
  <c r="G37" i="7"/>
  <c r="J40" i="7"/>
  <c r="H41" i="7"/>
  <c r="K62" i="7"/>
  <c r="B61" i="7"/>
  <c r="A61" i="7"/>
  <c r="H57" i="7"/>
  <c r="A7" i="7"/>
  <c r="B7" i="7"/>
  <c r="F5" i="7"/>
  <c r="G23" i="7"/>
  <c r="F53" i="7"/>
  <c r="J25" i="7"/>
  <c r="H20" i="7"/>
  <c r="G20" i="7"/>
  <c r="A20" i="7" s="1"/>
  <c r="G52" i="22"/>
  <c r="J41" i="22"/>
  <c r="H58" i="22"/>
  <c r="H59" i="22"/>
  <c r="H24" i="54"/>
  <c r="H25" i="54"/>
  <c r="H23" i="54"/>
  <c r="H20" i="54"/>
  <c r="H6" i="54"/>
  <c r="B6" i="54" s="1"/>
  <c r="I25" i="54"/>
  <c r="I23" i="54"/>
  <c r="I24" i="54"/>
  <c r="I20" i="54"/>
  <c r="J60" i="54"/>
  <c r="K25" i="54"/>
  <c r="K23" i="54"/>
  <c r="K24" i="54"/>
  <c r="K20" i="54"/>
  <c r="H39" i="54"/>
  <c r="F59" i="54"/>
  <c r="G24" i="54"/>
  <c r="G25" i="54"/>
  <c r="G23" i="54"/>
  <c r="F21" i="54"/>
  <c r="G5" i="54"/>
  <c r="G7" i="54"/>
  <c r="G19" i="54"/>
  <c r="G21" i="54"/>
  <c r="J37" i="54"/>
  <c r="H63" i="54"/>
  <c r="H58" i="54"/>
  <c r="D58" i="54" s="1"/>
  <c r="H59" i="54"/>
  <c r="H7" i="54"/>
  <c r="H19" i="54"/>
  <c r="A19" i="54" s="1"/>
  <c r="H21" i="54"/>
  <c r="J38" i="54"/>
  <c r="K37" i="54"/>
  <c r="I52" i="54"/>
  <c r="I58" i="54"/>
  <c r="I21" i="54"/>
  <c r="B40" i="54"/>
  <c r="A40" i="54"/>
  <c r="G20" i="54"/>
  <c r="G22" i="54" s="1"/>
  <c r="J6" i="54"/>
  <c r="J25" i="54"/>
  <c r="J23" i="54"/>
  <c r="J24" i="54"/>
  <c r="H4" i="54"/>
  <c r="J19" i="54"/>
  <c r="J21" i="54"/>
  <c r="B61" i="54"/>
  <c r="A61" i="54"/>
  <c r="K63" i="54"/>
  <c r="K58" i="54"/>
  <c r="K59" i="54"/>
  <c r="K21" i="54"/>
  <c r="K22" i="54" s="1"/>
  <c r="F24" i="54"/>
  <c r="F25" i="54"/>
  <c r="F23" i="54"/>
  <c r="F20" i="54"/>
  <c r="F24" i="55"/>
  <c r="F25" i="55"/>
  <c r="F23" i="55"/>
  <c r="J24" i="55"/>
  <c r="J25" i="55"/>
  <c r="J23" i="55"/>
  <c r="F21" i="55"/>
  <c r="D21" i="55" s="1"/>
  <c r="K20" i="55"/>
  <c r="I24" i="55"/>
  <c r="I25" i="55"/>
  <c r="I23" i="55"/>
  <c r="K38" i="55"/>
  <c r="H59" i="55"/>
  <c r="K58" i="55"/>
  <c r="F58" i="55"/>
  <c r="J20" i="55"/>
  <c r="H23" i="55"/>
  <c r="H24" i="55"/>
  <c r="D24" i="55" s="1"/>
  <c r="H25" i="55"/>
  <c r="D25" i="55" s="1"/>
  <c r="H6" i="55"/>
  <c r="G24" i="55"/>
  <c r="G25" i="55"/>
  <c r="G23" i="55"/>
  <c r="F5" i="55"/>
  <c r="H22" i="55"/>
  <c r="J58" i="55"/>
  <c r="H58" i="55"/>
  <c r="F20" i="55"/>
  <c r="I20" i="55"/>
  <c r="I22" i="55" s="1"/>
  <c r="G20" i="55"/>
  <c r="G22" i="55" s="1"/>
  <c r="G39" i="55"/>
  <c r="H63" i="55"/>
  <c r="F19" i="55"/>
  <c r="F60" i="55"/>
  <c r="G63" i="55"/>
  <c r="F38" i="55"/>
  <c r="K19" i="55"/>
  <c r="K37" i="55"/>
  <c r="J19" i="55"/>
  <c r="B41" i="55"/>
  <c r="A41" i="55"/>
  <c r="K63" i="55"/>
  <c r="G53" i="55"/>
  <c r="K21" i="55"/>
  <c r="I19" i="55"/>
  <c r="K25" i="55"/>
  <c r="K23" i="55"/>
  <c r="K24" i="55"/>
  <c r="J21" i="55"/>
  <c r="I25" i="56"/>
  <c r="I23" i="56"/>
  <c r="H25" i="56"/>
  <c r="H23" i="56"/>
  <c r="B40" i="56"/>
  <c r="A40" i="56"/>
  <c r="F24" i="56"/>
  <c r="F25" i="56"/>
  <c r="F23" i="56"/>
  <c r="G52" i="56"/>
  <c r="A52" i="56" s="1"/>
  <c r="B52" i="56"/>
  <c r="F19" i="56"/>
  <c r="F22" i="56" s="1"/>
  <c r="G20" i="56"/>
  <c r="G22" i="56" s="1"/>
  <c r="B21" i="56"/>
  <c r="A21" i="56"/>
  <c r="H62" i="56"/>
  <c r="B62" i="56" s="1"/>
  <c r="G62" i="56"/>
  <c r="G25" i="56"/>
  <c r="G23" i="56"/>
  <c r="G19" i="56"/>
  <c r="G38" i="56"/>
  <c r="I61" i="56"/>
  <c r="J37" i="56"/>
  <c r="D37" i="56" s="1"/>
  <c r="J25" i="56"/>
  <c r="J23" i="56"/>
  <c r="F58" i="56"/>
  <c r="H60" i="56"/>
  <c r="J60" i="56"/>
  <c r="I24" i="57"/>
  <c r="I25" i="57"/>
  <c r="I23" i="57"/>
  <c r="F20" i="57"/>
  <c r="G21" i="57"/>
  <c r="J24" i="57"/>
  <c r="J25" i="57"/>
  <c r="J23" i="57"/>
  <c r="I20" i="57"/>
  <c r="G24" i="57"/>
  <c r="G25" i="57"/>
  <c r="G23" i="57"/>
  <c r="H20" i="57"/>
  <c r="F60" i="57"/>
  <c r="G61" i="57"/>
  <c r="G20" i="57"/>
  <c r="K19" i="57"/>
  <c r="K22" i="57" s="1"/>
  <c r="J19" i="57"/>
  <c r="H52" i="57"/>
  <c r="I19" i="57"/>
  <c r="K38" i="57"/>
  <c r="J21" i="57"/>
  <c r="H19" i="57"/>
  <c r="H24" i="57"/>
  <c r="H25" i="57"/>
  <c r="H23" i="57"/>
  <c r="H7" i="57"/>
  <c r="B7" i="57" s="1"/>
  <c r="F23" i="57"/>
  <c r="F25" i="57"/>
  <c r="F24" i="57"/>
  <c r="I21" i="57"/>
  <c r="G19" i="57"/>
  <c r="K41" i="57"/>
  <c r="G40" i="57"/>
  <c r="I61" i="57"/>
  <c r="G62" i="57"/>
  <c r="F19" i="57"/>
  <c r="H21" i="57"/>
  <c r="K25" i="57"/>
  <c r="K23" i="57"/>
  <c r="K24" i="57"/>
  <c r="G63" i="57"/>
  <c r="H61" i="57"/>
  <c r="K52" i="57"/>
  <c r="K24" i="48"/>
  <c r="K25" i="48"/>
  <c r="K23" i="48"/>
  <c r="I5" i="48"/>
  <c r="I24" i="48"/>
  <c r="I25" i="48"/>
  <c r="I23" i="48"/>
  <c r="J41" i="48"/>
  <c r="G4" i="48"/>
  <c r="K6" i="48"/>
  <c r="I21" i="48"/>
  <c r="H58" i="48"/>
  <c r="J24" i="48"/>
  <c r="J25" i="48"/>
  <c r="J23" i="48"/>
  <c r="G60" i="48"/>
  <c r="H4" i="48"/>
  <c r="J21" i="48"/>
  <c r="K19" i="48"/>
  <c r="A19" i="48" s="1"/>
  <c r="H63" i="48"/>
  <c r="J58" i="48"/>
  <c r="G58" i="48"/>
  <c r="I61" i="48"/>
  <c r="I6" i="48"/>
  <c r="G20" i="48"/>
  <c r="H40" i="48"/>
  <c r="J40" i="48"/>
  <c r="I63" i="48"/>
  <c r="K58" i="48"/>
  <c r="H7" i="48"/>
  <c r="H20" i="48"/>
  <c r="H22" i="48" s="1"/>
  <c r="G38" i="48"/>
  <c r="K40" i="48"/>
  <c r="J63" i="48"/>
  <c r="I7" i="48"/>
  <c r="G24" i="48"/>
  <c r="G25" i="48"/>
  <c r="G23" i="48"/>
  <c r="I20" i="48"/>
  <c r="D20" i="48" s="1"/>
  <c r="G41" i="48"/>
  <c r="K52" i="48"/>
  <c r="H61" i="48"/>
  <c r="B61" i="48" s="1"/>
  <c r="G62" i="48"/>
  <c r="B62" i="48" s="1"/>
  <c r="H24" i="48"/>
  <c r="H25" i="48"/>
  <c r="H23" i="48"/>
  <c r="J20" i="48"/>
  <c r="H41" i="48"/>
  <c r="K53" i="48"/>
  <c r="I19" i="58"/>
  <c r="I37" i="58"/>
  <c r="I38" i="58"/>
  <c r="D61" i="58"/>
  <c r="C61" i="58"/>
  <c r="B61" i="58"/>
  <c r="A61" i="58"/>
  <c r="F4" i="58"/>
  <c r="J37" i="58"/>
  <c r="J38" i="58"/>
  <c r="I21" i="58"/>
  <c r="K21" i="58"/>
  <c r="F25" i="58"/>
  <c r="F23" i="58"/>
  <c r="F24" i="58"/>
  <c r="C39" i="58"/>
  <c r="B39" i="58"/>
  <c r="A39" i="58"/>
  <c r="D39" i="58"/>
  <c r="G25" i="58"/>
  <c r="G23" i="58"/>
  <c r="G24" i="58"/>
  <c r="G20" i="58"/>
  <c r="G40" i="58"/>
  <c r="H24" i="58"/>
  <c r="H25" i="58"/>
  <c r="H23" i="58"/>
  <c r="H20" i="58"/>
  <c r="H40" i="58"/>
  <c r="I24" i="58"/>
  <c r="I25" i="58"/>
  <c r="I23" i="58"/>
  <c r="F58" i="58"/>
  <c r="J24" i="58"/>
  <c r="J25" i="58"/>
  <c r="J23" i="58"/>
  <c r="J20" i="58"/>
  <c r="J22" i="58" s="1"/>
  <c r="J39" i="58"/>
  <c r="J40" i="58"/>
  <c r="G63" i="58"/>
  <c r="G62" i="58"/>
  <c r="I20" i="58"/>
  <c r="I40" i="58"/>
  <c r="K24" i="58"/>
  <c r="K25" i="58"/>
  <c r="K23" i="58"/>
  <c r="K20" i="58"/>
  <c r="K40" i="58"/>
  <c r="H63" i="58"/>
  <c r="H58" i="58"/>
  <c r="H59" i="58"/>
  <c r="H62" i="58"/>
  <c r="F19" i="58"/>
  <c r="F21" i="58"/>
  <c r="F38" i="58"/>
  <c r="F37" i="58"/>
  <c r="I63" i="58"/>
  <c r="I58" i="58"/>
  <c r="I59" i="58"/>
  <c r="I62" i="58"/>
  <c r="G19" i="58"/>
  <c r="G21" i="58"/>
  <c r="G38" i="58"/>
  <c r="G37" i="58"/>
  <c r="J63" i="58"/>
  <c r="J59" i="58"/>
  <c r="J62" i="58"/>
  <c r="F20" i="58"/>
  <c r="F40" i="58"/>
  <c r="H19" i="58"/>
  <c r="H21" i="58"/>
  <c r="H37" i="58"/>
  <c r="H38" i="58"/>
  <c r="K58" i="58"/>
  <c r="J5" i="53"/>
  <c r="J6" i="53"/>
  <c r="K40" i="53"/>
  <c r="J62" i="53"/>
  <c r="I62" i="53"/>
  <c r="F5" i="53"/>
  <c r="I6" i="53"/>
  <c r="G4" i="53"/>
  <c r="G59" i="53"/>
  <c r="H62" i="53"/>
  <c r="F40" i="53"/>
  <c r="B25" i="53"/>
  <c r="K39" i="53"/>
  <c r="F61" i="53"/>
  <c r="D61" i="53" s="1"/>
  <c r="J58" i="53"/>
  <c r="F40" i="52"/>
  <c r="H63" i="52"/>
  <c r="F62" i="52"/>
  <c r="D62" i="52" s="1"/>
  <c r="A38" i="52"/>
  <c r="F4" i="52"/>
  <c r="K59" i="52"/>
  <c r="I59" i="52"/>
  <c r="K37" i="52"/>
  <c r="F58" i="52"/>
  <c r="I61" i="52"/>
  <c r="B61" i="52" s="1"/>
  <c r="B19" i="52"/>
  <c r="B55" i="51"/>
  <c r="A55" i="51"/>
  <c r="B57" i="51"/>
  <c r="A57" i="51"/>
  <c r="J4" i="51"/>
  <c r="H5" i="51"/>
  <c r="B41" i="51"/>
  <c r="A41" i="51"/>
  <c r="J59" i="51"/>
  <c r="J63" i="51"/>
  <c r="K61" i="51"/>
  <c r="B61" i="51" s="1"/>
  <c r="K52" i="51"/>
  <c r="F5" i="51"/>
  <c r="K6" i="51"/>
  <c r="I5" i="51"/>
  <c r="F62" i="51"/>
  <c r="I7" i="51"/>
  <c r="I39" i="51"/>
  <c r="J39" i="51"/>
  <c r="B54" i="51"/>
  <c r="A54" i="51"/>
  <c r="B56" i="51"/>
  <c r="A56" i="51"/>
  <c r="H63" i="51"/>
  <c r="H40" i="51"/>
  <c r="K62" i="51"/>
  <c r="J37" i="51"/>
  <c r="B37" i="51" s="1"/>
  <c r="A37" i="51"/>
  <c r="F59" i="51"/>
  <c r="J53" i="51"/>
  <c r="B62" i="50"/>
  <c r="A62" i="50"/>
  <c r="I58" i="50"/>
  <c r="B40" i="50"/>
  <c r="A40" i="50"/>
  <c r="F58" i="50"/>
  <c r="H58" i="50"/>
  <c r="B55" i="50"/>
  <c r="A55" i="50"/>
  <c r="B20" i="50"/>
  <c r="A20" i="50"/>
  <c r="B56" i="50"/>
  <c r="A56" i="50"/>
  <c r="B54" i="50"/>
  <c r="A54" i="50"/>
  <c r="B57" i="50"/>
  <c r="A57" i="50"/>
  <c r="I37" i="49"/>
  <c r="I5" i="49"/>
  <c r="G4" i="49"/>
  <c r="G40" i="49"/>
  <c r="B54" i="49"/>
  <c r="A54" i="49"/>
  <c r="B56" i="49"/>
  <c r="A56" i="49"/>
  <c r="J5" i="49"/>
  <c r="B41" i="49"/>
  <c r="A41" i="49"/>
  <c r="B55" i="49"/>
  <c r="A55" i="49"/>
  <c r="B57" i="49"/>
  <c r="A57" i="49"/>
  <c r="I41" i="49"/>
  <c r="K39" i="49"/>
  <c r="B20" i="49"/>
  <c r="A20" i="49"/>
  <c r="I60" i="42"/>
  <c r="I63" i="42"/>
  <c r="B56" i="42"/>
  <c r="A56" i="42"/>
  <c r="F4" i="42"/>
  <c r="F7" i="42"/>
  <c r="G4" i="42"/>
  <c r="G7" i="42"/>
  <c r="D7" i="42" s="1"/>
  <c r="K53" i="42"/>
  <c r="B53" i="42" s="1"/>
  <c r="K37" i="42"/>
  <c r="K39" i="42"/>
  <c r="K41" i="42"/>
  <c r="K52" i="42"/>
  <c r="K54" i="42"/>
  <c r="K58" i="42"/>
  <c r="C20" i="42"/>
  <c r="F39" i="42"/>
  <c r="F41" i="42"/>
  <c r="D41" i="42" s="1"/>
  <c r="H61" i="42"/>
  <c r="B61" i="42" s="1"/>
  <c r="F58" i="42"/>
  <c r="F52" i="42"/>
  <c r="F54" i="42"/>
  <c r="B57" i="42"/>
  <c r="A57" i="42"/>
  <c r="I61" i="42"/>
  <c r="G63" i="42"/>
  <c r="H39" i="42"/>
  <c r="D39" i="42" s="1"/>
  <c r="H40" i="42"/>
  <c r="H58" i="42"/>
  <c r="H52" i="42"/>
  <c r="D52" i="42" s="1"/>
  <c r="I58" i="42"/>
  <c r="C58" i="42" s="1"/>
  <c r="B57" i="46"/>
  <c r="A57" i="46"/>
  <c r="B52" i="46"/>
  <c r="F59" i="46"/>
  <c r="H38" i="46"/>
  <c r="H5" i="46"/>
  <c r="B56" i="46"/>
  <c r="A56" i="46"/>
  <c r="B60" i="46"/>
  <c r="A60" i="46"/>
  <c r="I4" i="46"/>
  <c r="I5" i="46"/>
  <c r="G39" i="46"/>
  <c r="K63" i="46"/>
  <c r="K58" i="46"/>
  <c r="K52" i="46"/>
  <c r="A52" i="46" s="1"/>
  <c r="K54" i="46"/>
  <c r="J6" i="46"/>
  <c r="J5" i="46"/>
  <c r="H39" i="46"/>
  <c r="K6" i="46"/>
  <c r="I40" i="46"/>
  <c r="J37" i="46"/>
  <c r="B61" i="46"/>
  <c r="A61" i="46"/>
  <c r="H7" i="46"/>
  <c r="A38" i="46"/>
  <c r="B38" i="46"/>
  <c r="F41" i="46"/>
  <c r="H53" i="46"/>
  <c r="G53" i="45"/>
  <c r="G39" i="45"/>
  <c r="H39" i="45"/>
  <c r="H61" i="45"/>
  <c r="B61" i="45" s="1"/>
  <c r="B57" i="45"/>
  <c r="A57" i="45"/>
  <c r="G63" i="45"/>
  <c r="K4" i="45"/>
  <c r="K7" i="45"/>
  <c r="H58" i="45"/>
  <c r="B58" i="45" s="1"/>
  <c r="F4" i="45"/>
  <c r="I58" i="45"/>
  <c r="D58" i="45" s="1"/>
  <c r="I59" i="45"/>
  <c r="I54" i="45"/>
  <c r="I63" i="45"/>
  <c r="B56" i="45"/>
  <c r="A56" i="45"/>
  <c r="B60" i="45"/>
  <c r="A60" i="45"/>
  <c r="H63" i="45"/>
  <c r="J54" i="45"/>
  <c r="K5" i="45"/>
  <c r="H52" i="45"/>
  <c r="A20" i="45"/>
  <c r="B20" i="45"/>
  <c r="G41" i="45"/>
  <c r="D41" i="45" s="1"/>
  <c r="B61" i="41"/>
  <c r="A61" i="41"/>
  <c r="B56" i="41"/>
  <c r="A56" i="41"/>
  <c r="F4" i="41"/>
  <c r="F6" i="41"/>
  <c r="G37" i="41"/>
  <c r="A37" i="41" s="1"/>
  <c r="H60" i="41"/>
  <c r="B60" i="41" s="1"/>
  <c r="H37" i="41"/>
  <c r="B7" i="41"/>
  <c r="A7" i="41"/>
  <c r="A20" i="41"/>
  <c r="K53" i="41"/>
  <c r="B57" i="41"/>
  <c r="A57" i="41"/>
  <c r="G4" i="41"/>
  <c r="B41" i="41"/>
  <c r="A41" i="41"/>
  <c r="B55" i="41"/>
  <c r="A55" i="41"/>
  <c r="F58" i="41"/>
  <c r="F52" i="41"/>
  <c r="F54" i="41"/>
  <c r="I40" i="41"/>
  <c r="G63" i="41"/>
  <c r="G5" i="41"/>
  <c r="H58" i="41"/>
  <c r="B38" i="41"/>
  <c r="A38" i="41"/>
  <c r="B56" i="40"/>
  <c r="A56" i="40"/>
  <c r="K53" i="40"/>
  <c r="B57" i="40"/>
  <c r="A57" i="40"/>
  <c r="J38" i="40"/>
  <c r="B7" i="40"/>
  <c r="A7" i="40"/>
  <c r="F40" i="40"/>
  <c r="B41" i="40"/>
  <c r="A41" i="40"/>
  <c r="H61" i="40"/>
  <c r="J59" i="40"/>
  <c r="G37" i="40"/>
  <c r="G40" i="40"/>
  <c r="I61" i="40"/>
  <c r="B61" i="40" s="1"/>
  <c r="K63" i="40"/>
  <c r="H39" i="40"/>
  <c r="B53" i="40"/>
  <c r="F52" i="40"/>
  <c r="F54" i="40"/>
  <c r="F62" i="40"/>
  <c r="C62" i="40" s="1"/>
  <c r="I39" i="40"/>
  <c r="G54" i="40"/>
  <c r="J39" i="40"/>
  <c r="F63" i="40"/>
  <c r="D63" i="40" s="1"/>
  <c r="H58" i="40"/>
  <c r="H52" i="40"/>
  <c r="I5" i="40"/>
  <c r="I58" i="40"/>
  <c r="I52" i="40"/>
  <c r="B61" i="39"/>
  <c r="A61" i="39"/>
  <c r="B57" i="39"/>
  <c r="A57" i="39"/>
  <c r="B56" i="39"/>
  <c r="A56" i="39"/>
  <c r="B38" i="39"/>
  <c r="A38" i="39"/>
  <c r="K53" i="39"/>
  <c r="K5" i="39"/>
  <c r="J40" i="39"/>
  <c r="K54" i="39"/>
  <c r="F5" i="39"/>
  <c r="F7" i="39"/>
  <c r="K63" i="39"/>
  <c r="B23" i="39"/>
  <c r="G54" i="39"/>
  <c r="G7" i="39"/>
  <c r="F52" i="39"/>
  <c r="G40" i="39"/>
  <c r="F63" i="39"/>
  <c r="H54" i="39"/>
  <c r="B53" i="39"/>
  <c r="A53" i="39"/>
  <c r="F54" i="39"/>
  <c r="H40" i="39"/>
  <c r="I54" i="39"/>
  <c r="F62" i="39"/>
  <c r="I37" i="39"/>
  <c r="I40" i="39"/>
  <c r="J40" i="38"/>
  <c r="H63" i="38"/>
  <c r="I54" i="38"/>
  <c r="I57" i="38"/>
  <c r="B5" i="38"/>
  <c r="B38" i="38"/>
  <c r="A38" i="38"/>
  <c r="F39" i="38"/>
  <c r="F41" i="38"/>
  <c r="J63" i="38"/>
  <c r="J58" i="38"/>
  <c r="G41" i="38"/>
  <c r="J52" i="38"/>
  <c r="K63" i="38"/>
  <c r="A63" i="38" s="1"/>
  <c r="K58" i="38"/>
  <c r="K59" i="38"/>
  <c r="K54" i="38"/>
  <c r="K52" i="38"/>
  <c r="B63" i="38"/>
  <c r="B56" i="38"/>
  <c r="A56" i="38"/>
  <c r="I5" i="38"/>
  <c r="I37" i="38"/>
  <c r="I39" i="38"/>
  <c r="I41" i="38"/>
  <c r="J5" i="38"/>
  <c r="J37" i="38"/>
  <c r="B55" i="38"/>
  <c r="A55" i="38"/>
  <c r="G58" i="38"/>
  <c r="K5" i="38"/>
  <c r="F4" i="36"/>
  <c r="B41" i="36"/>
  <c r="A41" i="36"/>
  <c r="D54" i="36"/>
  <c r="C54" i="36"/>
  <c r="B54" i="36"/>
  <c r="A54" i="36"/>
  <c r="D56" i="36"/>
  <c r="C56" i="36"/>
  <c r="B56" i="36"/>
  <c r="A56" i="36"/>
  <c r="B55" i="36"/>
  <c r="A55" i="36"/>
  <c r="C55" i="36"/>
  <c r="D55" i="36"/>
  <c r="F5" i="36"/>
  <c r="D57" i="36"/>
  <c r="C57" i="36"/>
  <c r="B57" i="36"/>
  <c r="A57" i="36"/>
  <c r="H27" i="36"/>
  <c r="H19" i="36" s="1"/>
  <c r="G5" i="36"/>
  <c r="F40" i="36"/>
  <c r="J4" i="36"/>
  <c r="I6" i="36"/>
  <c r="H7" i="36"/>
  <c r="F38" i="36"/>
  <c r="J40" i="36"/>
  <c r="G4" i="36"/>
  <c r="I38" i="36"/>
  <c r="K27" i="36"/>
  <c r="K20" i="36" s="1"/>
  <c r="J39" i="36"/>
  <c r="C39" i="36" s="1"/>
  <c r="H37" i="36"/>
  <c r="I27" i="36"/>
  <c r="I7" i="36"/>
  <c r="G66" i="36"/>
  <c r="J6" i="36"/>
  <c r="I37" i="36"/>
  <c r="J27" i="36"/>
  <c r="J21" i="36" s="1"/>
  <c r="J7" i="36"/>
  <c r="J38" i="36"/>
  <c r="I5" i="36"/>
  <c r="H38" i="36"/>
  <c r="G38" i="36"/>
  <c r="F6" i="36"/>
  <c r="F66" i="36"/>
  <c r="F53" i="36" s="1"/>
  <c r="J5" i="36"/>
  <c r="G7" i="36"/>
  <c r="I40" i="36"/>
  <c r="H40" i="36"/>
  <c r="I66" i="36"/>
  <c r="H6" i="36"/>
  <c r="H37" i="26"/>
  <c r="H40" i="26"/>
  <c r="B63" i="26"/>
  <c r="G63" i="26"/>
  <c r="A63" i="26" s="1"/>
  <c r="B56" i="26"/>
  <c r="A56" i="26"/>
  <c r="J39" i="26"/>
  <c r="F38" i="26"/>
  <c r="G38" i="26"/>
  <c r="J61" i="26"/>
  <c r="B61" i="26" s="1"/>
  <c r="F4" i="26"/>
  <c r="K53" i="26"/>
  <c r="B57" i="26"/>
  <c r="A57" i="26"/>
  <c r="K63" i="26"/>
  <c r="K54" i="26"/>
  <c r="K58" i="26"/>
  <c r="F52" i="26"/>
  <c r="K37" i="26"/>
  <c r="K41" i="26"/>
  <c r="D41" i="26" s="1"/>
  <c r="G58" i="26"/>
  <c r="B58" i="26" s="1"/>
  <c r="G59" i="26"/>
  <c r="A59" i="26" s="1"/>
  <c r="I5" i="26"/>
  <c r="I6" i="26"/>
  <c r="I39" i="26"/>
  <c r="F39" i="26"/>
  <c r="F40" i="26"/>
  <c r="F41" i="26"/>
  <c r="G39" i="26"/>
  <c r="G40" i="26"/>
  <c r="B56" i="32"/>
  <c r="A56" i="32"/>
  <c r="H37" i="32"/>
  <c r="H39" i="32"/>
  <c r="I37" i="32"/>
  <c r="I39" i="32"/>
  <c r="B57" i="32"/>
  <c r="A57" i="32"/>
  <c r="B53" i="32"/>
  <c r="A53" i="32"/>
  <c r="I60" i="32"/>
  <c r="B60" i="32" s="1"/>
  <c r="G63" i="32"/>
  <c r="G41" i="32"/>
  <c r="G38" i="32"/>
  <c r="F61" i="32"/>
  <c r="J4" i="32"/>
  <c r="J7" i="32"/>
  <c r="I58" i="32"/>
  <c r="I52" i="32"/>
  <c r="K7" i="32"/>
  <c r="F4" i="32"/>
  <c r="F37" i="32"/>
  <c r="J52" i="35"/>
  <c r="F5" i="35"/>
  <c r="H6" i="35"/>
  <c r="B38" i="35"/>
  <c r="A38" i="35"/>
  <c r="G5" i="35"/>
  <c r="I6" i="35"/>
  <c r="I54" i="35"/>
  <c r="B54" i="35" s="1"/>
  <c r="B63" i="35"/>
  <c r="J7" i="35"/>
  <c r="K6" i="35"/>
  <c r="B56" i="35"/>
  <c r="A56" i="35"/>
  <c r="J60" i="35"/>
  <c r="B60" i="35" s="1"/>
  <c r="K63" i="35"/>
  <c r="A63" i="35" s="1"/>
  <c r="K58" i="35"/>
  <c r="K59" i="35"/>
  <c r="K54" i="35"/>
  <c r="B61" i="35"/>
  <c r="A61" i="35"/>
  <c r="J4" i="35"/>
  <c r="B4" i="35" s="1"/>
  <c r="J39" i="35"/>
  <c r="J40" i="35"/>
  <c r="K37" i="35"/>
  <c r="K40" i="35"/>
  <c r="B57" i="47"/>
  <c r="A57" i="47"/>
  <c r="H7" i="47"/>
  <c r="B56" i="47"/>
  <c r="A56" i="47"/>
  <c r="G63" i="47"/>
  <c r="F58" i="47"/>
  <c r="F6" i="47"/>
  <c r="F39" i="47"/>
  <c r="F41" i="47"/>
  <c r="G4" i="47"/>
  <c r="J61" i="47"/>
  <c r="B61" i="47" s="1"/>
  <c r="I4" i="47"/>
  <c r="F63" i="47"/>
  <c r="H38" i="47"/>
  <c r="K37" i="47"/>
  <c r="B60" i="47"/>
  <c r="A60" i="47"/>
  <c r="G63" i="22"/>
  <c r="B63" i="22" s="1"/>
  <c r="H40" i="22"/>
  <c r="K61" i="22"/>
  <c r="B61" i="22" s="1"/>
  <c r="H63" i="22"/>
  <c r="J59" i="22"/>
  <c r="H4" i="22"/>
  <c r="I6" i="22"/>
  <c r="K37" i="22"/>
  <c r="K40" i="22"/>
  <c r="K63" i="22"/>
  <c r="K58" i="22"/>
  <c r="J4" i="22"/>
  <c r="F39" i="22"/>
  <c r="F41" i="22"/>
  <c r="H52" i="22"/>
  <c r="B60" i="22"/>
  <c r="A60" i="22"/>
  <c r="A61" i="22"/>
  <c r="B56" i="22"/>
  <c r="A56" i="22"/>
  <c r="J38" i="22"/>
  <c r="B56" i="31"/>
  <c r="A56" i="31"/>
  <c r="K38" i="31"/>
  <c r="A20" i="31"/>
  <c r="J5" i="31"/>
  <c r="K53" i="31"/>
  <c r="F39" i="31"/>
  <c r="J61" i="31"/>
  <c r="B61" i="31" s="1"/>
  <c r="K54" i="31"/>
  <c r="C54" i="31" s="1"/>
  <c r="G5" i="31"/>
  <c r="B5" i="31" s="1"/>
  <c r="G7" i="31"/>
  <c r="G39" i="31"/>
  <c r="F58" i="31"/>
  <c r="F59" i="31"/>
  <c r="F54" i="31"/>
  <c r="A57" i="31"/>
  <c r="B57" i="31"/>
  <c r="F62" i="31"/>
  <c r="D62" i="31" s="1"/>
  <c r="H7" i="31"/>
  <c r="B23" i="31"/>
  <c r="A23" i="31"/>
  <c r="G58" i="31"/>
  <c r="G52" i="31"/>
  <c r="G54" i="31"/>
  <c r="I40" i="31"/>
  <c r="F63" i="31"/>
  <c r="C63" i="31" s="1"/>
  <c r="H52" i="31"/>
  <c r="J39" i="31"/>
  <c r="K7" i="31"/>
  <c r="B38" i="30"/>
  <c r="A38" i="30"/>
  <c r="B61" i="30"/>
  <c r="A61" i="30"/>
  <c r="I5" i="30"/>
  <c r="I7" i="30"/>
  <c r="H39" i="30"/>
  <c r="F5" i="30"/>
  <c r="G37" i="30"/>
  <c r="J55" i="30"/>
  <c r="D55" i="30" s="1"/>
  <c r="K37" i="30"/>
  <c r="J6" i="30"/>
  <c r="H4" i="30"/>
  <c r="G41" i="30"/>
  <c r="G53" i="30"/>
  <c r="I41" i="30"/>
  <c r="I53" i="30"/>
  <c r="F60" i="30"/>
  <c r="G63" i="30"/>
  <c r="K4" i="30"/>
  <c r="B20" i="30"/>
  <c r="B57" i="30"/>
  <c r="A57" i="30"/>
  <c r="I63" i="30"/>
  <c r="G5" i="30"/>
  <c r="G7" i="30"/>
  <c r="D7" i="30" s="1"/>
  <c r="F37" i="30"/>
  <c r="F41" i="30"/>
  <c r="J52" i="30"/>
  <c r="J58" i="30"/>
  <c r="A20" i="30"/>
  <c r="K56" i="30"/>
  <c r="A56" i="30" s="1"/>
  <c r="B57" i="3"/>
  <c r="A57" i="3"/>
  <c r="B63" i="3"/>
  <c r="A63" i="3"/>
  <c r="K4" i="3"/>
  <c r="K6" i="3"/>
  <c r="H39" i="3"/>
  <c r="K40" i="3"/>
  <c r="F59" i="3"/>
  <c r="C20" i="3"/>
  <c r="B38" i="3"/>
  <c r="A38" i="3"/>
  <c r="J54" i="3"/>
  <c r="K54" i="3"/>
  <c r="I37" i="3"/>
  <c r="B56" i="3"/>
  <c r="A56" i="3"/>
  <c r="I4" i="3"/>
  <c r="H4" i="3"/>
  <c r="H5" i="3"/>
  <c r="B61" i="3"/>
  <c r="A61" i="3"/>
  <c r="I6" i="3"/>
  <c r="K40" i="29"/>
  <c r="I52" i="29"/>
  <c r="B61" i="29"/>
  <c r="A61" i="29"/>
  <c r="B56" i="29"/>
  <c r="A56" i="29"/>
  <c r="J59" i="29"/>
  <c r="I7" i="29"/>
  <c r="J58" i="29"/>
  <c r="H39" i="29"/>
  <c r="J37" i="29"/>
  <c r="J39" i="29"/>
  <c r="J41" i="29"/>
  <c r="B57" i="29"/>
  <c r="A57" i="29"/>
  <c r="I5" i="29"/>
  <c r="K37" i="29"/>
  <c r="K63" i="29"/>
  <c r="K54" i="29"/>
  <c r="K58" i="29"/>
  <c r="J54" i="29"/>
  <c r="B53" i="29"/>
  <c r="F58" i="29"/>
  <c r="F5" i="29"/>
  <c r="B7" i="29"/>
  <c r="A7" i="29"/>
  <c r="B55" i="29"/>
  <c r="A55" i="29"/>
  <c r="F62" i="29"/>
  <c r="C62" i="29" s="1"/>
  <c r="G54" i="29"/>
  <c r="F6" i="29"/>
  <c r="H54" i="29"/>
  <c r="J53" i="29"/>
  <c r="K4" i="29"/>
  <c r="G39" i="29"/>
  <c r="C39" i="29" s="1"/>
  <c r="I40" i="29"/>
  <c r="I58" i="29"/>
  <c r="B61" i="28"/>
  <c r="A61" i="28"/>
  <c r="B56" i="28"/>
  <c r="A56" i="28"/>
  <c r="F6" i="28"/>
  <c r="B19" i="28"/>
  <c r="A19" i="28"/>
  <c r="I37" i="28"/>
  <c r="I41" i="28"/>
  <c r="J58" i="28"/>
  <c r="I5" i="28"/>
  <c r="B37" i="28"/>
  <c r="A37" i="28"/>
  <c r="K58" i="28"/>
  <c r="J6" i="28"/>
  <c r="F58" i="28"/>
  <c r="F52" i="28"/>
  <c r="F54" i="28"/>
  <c r="F62" i="28"/>
  <c r="G52" i="28"/>
  <c r="G54" i="28"/>
  <c r="G57" i="28"/>
  <c r="A57" i="28" s="1"/>
  <c r="J37" i="28"/>
  <c r="F63" i="28"/>
  <c r="H54" i="28"/>
  <c r="K7" i="28"/>
  <c r="B21" i="28"/>
  <c r="B38" i="28"/>
  <c r="A38" i="28"/>
  <c r="G63" i="28"/>
  <c r="I58" i="28"/>
  <c r="I59" i="28"/>
  <c r="I54" i="28"/>
  <c r="K39" i="28"/>
  <c r="K41" i="28"/>
  <c r="K5" i="28"/>
  <c r="A25" i="28"/>
  <c r="B57" i="20"/>
  <c r="A57" i="20"/>
  <c r="G54" i="16"/>
  <c r="J40" i="16"/>
  <c r="I63" i="16"/>
  <c r="K40" i="16"/>
  <c r="J62" i="16"/>
  <c r="B38" i="16"/>
  <c r="A38" i="16"/>
  <c r="K62" i="16"/>
  <c r="F7" i="16"/>
  <c r="B19" i="16"/>
  <c r="B21" i="16"/>
  <c r="K58" i="16"/>
  <c r="F60" i="16"/>
  <c r="B41" i="16"/>
  <c r="A41" i="16"/>
  <c r="B56" i="16"/>
  <c r="A56" i="16"/>
  <c r="H55" i="37"/>
  <c r="H53" i="37"/>
  <c r="I53" i="37"/>
  <c r="G58" i="37"/>
  <c r="G53" i="37"/>
  <c r="I38" i="37"/>
  <c r="K37" i="37"/>
  <c r="K39" i="37"/>
  <c r="K41" i="37"/>
  <c r="B41" i="37" s="1"/>
  <c r="B61" i="37"/>
  <c r="A61" i="37"/>
  <c r="K4" i="37"/>
  <c r="I54" i="37"/>
  <c r="H58" i="37"/>
  <c r="F7" i="37"/>
  <c r="G39" i="37"/>
  <c r="G5" i="37"/>
  <c r="G7" i="37"/>
  <c r="F59" i="37"/>
  <c r="I39" i="37"/>
  <c r="B60" i="37"/>
  <c r="A60" i="37"/>
  <c r="B57" i="37"/>
  <c r="A57" i="37"/>
  <c r="B60" i="21"/>
  <c r="A60" i="21"/>
  <c r="B52" i="21"/>
  <c r="G58" i="21"/>
  <c r="H53" i="21"/>
  <c r="G40" i="21"/>
  <c r="B40" i="21" s="1"/>
  <c r="F63" i="21"/>
  <c r="B57" i="21"/>
  <c r="A57" i="21"/>
  <c r="K38" i="21"/>
  <c r="K4" i="21"/>
  <c r="F5" i="21"/>
  <c r="B61" i="21"/>
  <c r="A61" i="21"/>
  <c r="H5" i="21"/>
  <c r="H7" i="21"/>
  <c r="F41" i="21"/>
  <c r="C41" i="21" s="1"/>
  <c r="A58" i="21"/>
  <c r="B58" i="21"/>
  <c r="I7" i="21"/>
  <c r="D7" i="21" s="1"/>
  <c r="B56" i="21"/>
  <c r="A56" i="21"/>
  <c r="B54" i="21"/>
  <c r="A54" i="21"/>
  <c r="H39" i="7"/>
  <c r="B39" i="7" s="1"/>
  <c r="G53" i="7"/>
  <c r="H6" i="7"/>
  <c r="F57" i="7"/>
  <c r="H53" i="7"/>
  <c r="G6" i="7"/>
  <c r="A6" i="7" s="1"/>
  <c r="I41" i="7"/>
  <c r="K54" i="7"/>
  <c r="G55" i="7"/>
  <c r="J63" i="7"/>
  <c r="I5" i="7"/>
  <c r="F23" i="7"/>
  <c r="H25" i="7"/>
  <c r="F58" i="7"/>
  <c r="I58" i="7"/>
  <c r="D57" i="7"/>
  <c r="I63" i="7"/>
  <c r="G4" i="7"/>
  <c r="F24" i="7"/>
  <c r="I23" i="7"/>
  <c r="K37" i="7"/>
  <c r="I40" i="7"/>
  <c r="G41" i="7"/>
  <c r="J53" i="7"/>
  <c r="K52" i="7"/>
  <c r="F25" i="7"/>
  <c r="I55" i="7"/>
  <c r="D55" i="7" s="1"/>
  <c r="J5" i="7"/>
  <c r="K25" i="7"/>
  <c r="I59" i="7"/>
  <c r="G54" i="7"/>
  <c r="I52" i="7"/>
  <c r="G60" i="7"/>
  <c r="K38" i="7"/>
  <c r="J60" i="7"/>
  <c r="J37" i="7"/>
  <c r="D39" i="7"/>
  <c r="C39" i="7"/>
  <c r="D61" i="7"/>
  <c r="C61" i="7"/>
  <c r="G52" i="7"/>
  <c r="H23" i="7"/>
  <c r="H59" i="7"/>
  <c r="I6" i="7"/>
  <c r="F40" i="7"/>
  <c r="F54" i="7"/>
  <c r="J54" i="7"/>
  <c r="J6" i="7"/>
  <c r="F59" i="7"/>
  <c r="F62" i="7"/>
  <c r="G59" i="7"/>
  <c r="G58" i="7"/>
  <c r="H62" i="7"/>
  <c r="J59" i="7"/>
  <c r="I62" i="7"/>
  <c r="F41" i="7"/>
  <c r="F52" i="7"/>
  <c r="J55" i="7"/>
  <c r="J4" i="7"/>
  <c r="H7" i="7"/>
  <c r="G38" i="7"/>
  <c r="A38" i="7" s="1"/>
  <c r="G56" i="7"/>
  <c r="A56" i="7" s="1"/>
  <c r="J62" i="7"/>
  <c r="F4" i="7"/>
  <c r="I7" i="7"/>
  <c r="K40" i="7"/>
  <c r="J58" i="7"/>
  <c r="C21" i="7"/>
  <c r="K6" i="7"/>
  <c r="C6" i="7" s="1"/>
  <c r="I37" i="7"/>
  <c r="H5" i="7"/>
  <c r="G5" i="7"/>
  <c r="D57" i="21"/>
  <c r="C57" i="21"/>
  <c r="G53" i="21"/>
  <c r="A53" i="21" s="1"/>
  <c r="H4" i="21"/>
  <c r="K6" i="21"/>
  <c r="H37" i="21"/>
  <c r="F59" i="21"/>
  <c r="D61" i="21"/>
  <c r="C61" i="21"/>
  <c r="D58" i="21"/>
  <c r="C58" i="21"/>
  <c r="I4" i="21"/>
  <c r="F4" i="21"/>
  <c r="F6" i="21"/>
  <c r="G59" i="21"/>
  <c r="D52" i="21"/>
  <c r="F37" i="21"/>
  <c r="J4" i="21"/>
  <c r="G5" i="21"/>
  <c r="G6" i="21"/>
  <c r="H59" i="21"/>
  <c r="I38" i="21"/>
  <c r="F55" i="21"/>
  <c r="J38" i="21"/>
  <c r="G55" i="21"/>
  <c r="H40" i="21"/>
  <c r="H55" i="21"/>
  <c r="C54" i="21"/>
  <c r="D54" i="21"/>
  <c r="D56" i="21"/>
  <c r="C56" i="21"/>
  <c r="G39" i="21"/>
  <c r="D39" i="21" s="1"/>
  <c r="C7" i="37"/>
  <c r="J5" i="37"/>
  <c r="F40" i="37"/>
  <c r="D61" i="37"/>
  <c r="C61" i="37"/>
  <c r="H6" i="37"/>
  <c r="J38" i="37"/>
  <c r="H40" i="37"/>
  <c r="G59" i="37"/>
  <c r="F4" i="37"/>
  <c r="F6" i="37"/>
  <c r="K38" i="37"/>
  <c r="H54" i="37"/>
  <c r="D54" i="37" s="1"/>
  <c r="H59" i="37"/>
  <c r="J6" i="37"/>
  <c r="G4" i="37"/>
  <c r="G6" i="37"/>
  <c r="J53" i="37"/>
  <c r="G37" i="37"/>
  <c r="K40" i="37"/>
  <c r="J59" i="37"/>
  <c r="G55" i="37"/>
  <c r="D60" i="37"/>
  <c r="C60" i="37"/>
  <c r="K6" i="37"/>
  <c r="D57" i="37"/>
  <c r="C57" i="37"/>
  <c r="F62" i="37"/>
  <c r="H40" i="16"/>
  <c r="F63" i="16"/>
  <c r="F58" i="16"/>
  <c r="F59" i="16"/>
  <c r="I40" i="16"/>
  <c r="H55" i="16"/>
  <c r="G62" i="16"/>
  <c r="B62" i="16" s="1"/>
  <c r="I62" i="16"/>
  <c r="K60" i="16"/>
  <c r="J6" i="16"/>
  <c r="G37" i="16"/>
  <c r="H39" i="16"/>
  <c r="F61" i="16"/>
  <c r="J63" i="16"/>
  <c r="K52" i="16"/>
  <c r="G4" i="16"/>
  <c r="G6" i="16"/>
  <c r="J39" i="16"/>
  <c r="G53" i="16"/>
  <c r="G59" i="16"/>
  <c r="H4" i="16"/>
  <c r="H6" i="16"/>
  <c r="D19" i="16"/>
  <c r="K39" i="16"/>
  <c r="H53" i="16"/>
  <c r="H59" i="16"/>
  <c r="D56" i="16"/>
  <c r="C56" i="16"/>
  <c r="I4" i="16"/>
  <c r="I6" i="16"/>
  <c r="F4" i="16"/>
  <c r="C38" i="16"/>
  <c r="D38" i="16"/>
  <c r="K59" i="16"/>
  <c r="F6" i="16"/>
  <c r="F5" i="16"/>
  <c r="D41" i="16"/>
  <c r="C41" i="16"/>
  <c r="F37" i="16"/>
  <c r="F40" i="16"/>
  <c r="D57" i="20"/>
  <c r="C57" i="20"/>
  <c r="G38" i="20"/>
  <c r="I40" i="20"/>
  <c r="F62" i="20"/>
  <c r="G55" i="20"/>
  <c r="H7" i="20"/>
  <c r="J40" i="20"/>
  <c r="G7" i="20"/>
  <c r="I41" i="20"/>
  <c r="K60" i="20"/>
  <c r="J7" i="20"/>
  <c r="K61" i="20"/>
  <c r="F39" i="20"/>
  <c r="F54" i="20"/>
  <c r="I60" i="20"/>
  <c r="F7" i="20"/>
  <c r="I6" i="20"/>
  <c r="K53" i="20"/>
  <c r="J55" i="20"/>
  <c r="K39" i="20"/>
  <c r="J60" i="20"/>
  <c r="K37" i="20"/>
  <c r="I37" i="20"/>
  <c r="K40" i="20"/>
  <c r="F40" i="20"/>
  <c r="J4" i="20"/>
  <c r="H40" i="20"/>
  <c r="F37" i="20"/>
  <c r="F41" i="20"/>
  <c r="J53" i="20"/>
  <c r="H58" i="20"/>
  <c r="G6" i="20"/>
  <c r="J39" i="20"/>
  <c r="G40" i="20"/>
  <c r="H60" i="20"/>
  <c r="F55" i="20"/>
  <c r="J37" i="20"/>
  <c r="G60" i="20"/>
  <c r="I39" i="20"/>
  <c r="G37" i="20"/>
  <c r="K4" i="20"/>
  <c r="G58" i="20"/>
  <c r="F63" i="20"/>
  <c r="F61" i="20"/>
  <c r="H55" i="20"/>
  <c r="H53" i="20"/>
  <c r="G39" i="20"/>
  <c r="F5" i="20"/>
  <c r="H39" i="20"/>
  <c r="H38" i="20"/>
  <c r="K41" i="20"/>
  <c r="I55" i="20"/>
  <c r="G53" i="20"/>
  <c r="I62" i="20"/>
  <c r="I5" i="20"/>
  <c r="J41" i="20"/>
  <c r="F6" i="20"/>
  <c r="J5" i="20"/>
  <c r="H37" i="20"/>
  <c r="H54" i="20"/>
  <c r="G63" i="20"/>
  <c r="F58" i="20"/>
  <c r="H5" i="20"/>
  <c r="H6" i="20"/>
  <c r="H4" i="20"/>
  <c r="K63" i="20"/>
  <c r="G4" i="20"/>
  <c r="J6" i="20"/>
  <c r="K38" i="20"/>
  <c r="K7" i="20"/>
  <c r="J63" i="20"/>
  <c r="I54" i="20"/>
  <c r="J59" i="20"/>
  <c r="G5" i="20"/>
  <c r="H41" i="20"/>
  <c r="K52" i="20"/>
  <c r="I59" i="20"/>
  <c r="G54" i="20"/>
  <c r="G52" i="20"/>
  <c r="F60" i="20"/>
  <c r="I63" i="20"/>
  <c r="J52" i="20"/>
  <c r="H52" i="20"/>
  <c r="I52" i="20"/>
  <c r="G59" i="20"/>
  <c r="H63" i="20"/>
  <c r="C20" i="28"/>
  <c r="D19" i="28"/>
  <c r="F7" i="28"/>
  <c r="K37" i="28"/>
  <c r="F40" i="28"/>
  <c r="H6" i="28"/>
  <c r="C21" i="28"/>
  <c r="D38" i="28"/>
  <c r="C38" i="28"/>
  <c r="G40" i="28"/>
  <c r="I40" i="28"/>
  <c r="F55" i="28"/>
  <c r="J60" i="28"/>
  <c r="F5" i="28"/>
  <c r="K60" i="28"/>
  <c r="J63" i="28"/>
  <c r="D63" i="28" s="1"/>
  <c r="G5" i="28"/>
  <c r="K63" i="28"/>
  <c r="H40" i="28"/>
  <c r="G58" i="28"/>
  <c r="H5" i="28"/>
  <c r="D56" i="28"/>
  <c r="C56" i="28"/>
  <c r="J5" i="28"/>
  <c r="H39" i="28"/>
  <c r="B39" i="28" s="1"/>
  <c r="F59" i="28"/>
  <c r="I39" i="28"/>
  <c r="G53" i="28"/>
  <c r="H59" i="28"/>
  <c r="J41" i="28"/>
  <c r="D41" i="28" s="1"/>
  <c r="H53" i="28"/>
  <c r="J59" i="28"/>
  <c r="D56" i="29"/>
  <c r="C56" i="29"/>
  <c r="K6" i="29"/>
  <c r="J38" i="29"/>
  <c r="K59" i="29"/>
  <c r="F4" i="29"/>
  <c r="J6" i="29"/>
  <c r="I38" i="29"/>
  <c r="H59" i="29"/>
  <c r="D7" i="29"/>
  <c r="C7" i="29"/>
  <c r="K38" i="29"/>
  <c r="G53" i="29"/>
  <c r="H58" i="29"/>
  <c r="H53" i="29"/>
  <c r="C55" i="29"/>
  <c r="D55" i="29"/>
  <c r="G58" i="29"/>
  <c r="B25" i="29"/>
  <c r="I6" i="29"/>
  <c r="G40" i="29"/>
  <c r="K52" i="29"/>
  <c r="H37" i="29"/>
  <c r="H60" i="29"/>
  <c r="H52" i="29"/>
  <c r="G4" i="29"/>
  <c r="G6" i="29"/>
  <c r="F38" i="29"/>
  <c r="H40" i="29"/>
  <c r="H41" i="29"/>
  <c r="K60" i="29"/>
  <c r="B60" i="29" s="1"/>
  <c r="D57" i="29"/>
  <c r="C57" i="29"/>
  <c r="H4" i="29"/>
  <c r="H6" i="29"/>
  <c r="C6" i="29" s="1"/>
  <c r="F63" i="29"/>
  <c r="D61" i="29"/>
  <c r="C61" i="29"/>
  <c r="J40" i="29"/>
  <c r="G59" i="29"/>
  <c r="D38" i="3"/>
  <c r="C38" i="3"/>
  <c r="F37" i="3"/>
  <c r="K52" i="3"/>
  <c r="K55" i="3"/>
  <c r="J52" i="3"/>
  <c r="J55" i="3"/>
  <c r="D61" i="3"/>
  <c r="C61" i="3"/>
  <c r="G37" i="3"/>
  <c r="D56" i="3"/>
  <c r="C56" i="3"/>
  <c r="I53" i="3"/>
  <c r="K5" i="3"/>
  <c r="K7" i="3"/>
  <c r="J37" i="3"/>
  <c r="K37" i="3"/>
  <c r="K39" i="3"/>
  <c r="D39" i="3" s="1"/>
  <c r="K41" i="3"/>
  <c r="D41" i="3" s="1"/>
  <c r="J53" i="3"/>
  <c r="I52" i="3"/>
  <c r="F4" i="3"/>
  <c r="F6" i="3"/>
  <c r="F40" i="3"/>
  <c r="K53" i="3"/>
  <c r="J6" i="3"/>
  <c r="G4" i="3"/>
  <c r="G7" i="3"/>
  <c r="G40" i="3"/>
  <c r="I54" i="3"/>
  <c r="D60" i="3"/>
  <c r="H6" i="3"/>
  <c r="H40" i="3"/>
  <c r="D63" i="3"/>
  <c r="C63" i="3"/>
  <c r="F54" i="3"/>
  <c r="F62" i="3"/>
  <c r="D57" i="3"/>
  <c r="C57" i="3"/>
  <c r="H60" i="3"/>
  <c r="C60" i="3" s="1"/>
  <c r="H7" i="3"/>
  <c r="H58" i="3"/>
  <c r="D58" i="3" s="1"/>
  <c r="H52" i="3"/>
  <c r="A52" i="3" s="1"/>
  <c r="H54" i="3"/>
  <c r="I4" i="30"/>
  <c r="J37" i="30"/>
  <c r="K60" i="30"/>
  <c r="K63" i="30"/>
  <c r="D63" i="30" s="1"/>
  <c r="K58" i="30"/>
  <c r="H6" i="30"/>
  <c r="D56" i="30"/>
  <c r="C56" i="30"/>
  <c r="D61" i="30"/>
  <c r="C61" i="30"/>
  <c r="K6" i="30"/>
  <c r="D20" i="30"/>
  <c r="D38" i="30"/>
  <c r="C38" i="30"/>
  <c r="F40" i="30"/>
  <c r="G40" i="30"/>
  <c r="J53" i="30"/>
  <c r="H40" i="30"/>
  <c r="I40" i="30"/>
  <c r="K5" i="30"/>
  <c r="D5" i="30" s="1"/>
  <c r="K40" i="30"/>
  <c r="D57" i="30"/>
  <c r="C57" i="30"/>
  <c r="F58" i="30"/>
  <c r="F59" i="30"/>
  <c r="F54" i="30"/>
  <c r="F62" i="30"/>
  <c r="F39" i="30"/>
  <c r="I52" i="30"/>
  <c r="G60" i="30"/>
  <c r="G58" i="30"/>
  <c r="G52" i="30"/>
  <c r="G54" i="30"/>
  <c r="H54" i="30"/>
  <c r="G4" i="30"/>
  <c r="B4" i="30" s="1"/>
  <c r="G6" i="30"/>
  <c r="B24" i="30"/>
  <c r="H37" i="30"/>
  <c r="I60" i="30"/>
  <c r="I58" i="30"/>
  <c r="I54" i="30"/>
  <c r="D39" i="31"/>
  <c r="C39" i="31"/>
  <c r="D61" i="31"/>
  <c r="F40" i="31"/>
  <c r="G40" i="31"/>
  <c r="I38" i="31"/>
  <c r="C38" i="31" s="1"/>
  <c r="H40" i="31"/>
  <c r="D57" i="31"/>
  <c r="C57" i="31"/>
  <c r="D20" i="31"/>
  <c r="F6" i="31"/>
  <c r="F37" i="31"/>
  <c r="K40" i="31"/>
  <c r="I60" i="31"/>
  <c r="H54" i="31"/>
  <c r="G4" i="31"/>
  <c r="G6" i="31"/>
  <c r="G37" i="31"/>
  <c r="I52" i="31"/>
  <c r="J60" i="31"/>
  <c r="H4" i="31"/>
  <c r="B4" i="31" s="1"/>
  <c r="H6" i="31"/>
  <c r="J52" i="31"/>
  <c r="J58" i="31"/>
  <c r="J54" i="31"/>
  <c r="J40" i="31"/>
  <c r="K58" i="31"/>
  <c r="J6" i="31"/>
  <c r="J37" i="31"/>
  <c r="G53" i="31"/>
  <c r="D56" i="31"/>
  <c r="C56" i="31"/>
  <c r="G59" i="31"/>
  <c r="K4" i="31"/>
  <c r="K6" i="31"/>
  <c r="D23" i="31"/>
  <c r="C23" i="31"/>
  <c r="I59" i="31"/>
  <c r="D41" i="22"/>
  <c r="C41" i="22"/>
  <c r="D61" i="22"/>
  <c r="C61" i="22"/>
  <c r="D56" i="22"/>
  <c r="C56" i="22"/>
  <c r="I5" i="22"/>
  <c r="I7" i="22"/>
  <c r="F37" i="22"/>
  <c r="J52" i="22"/>
  <c r="G55" i="22"/>
  <c r="J63" i="22"/>
  <c r="J58" i="22"/>
  <c r="H55" i="22"/>
  <c r="F4" i="22"/>
  <c r="F5" i="22"/>
  <c r="K39" i="22"/>
  <c r="D39" i="22" s="1"/>
  <c r="G53" i="22"/>
  <c r="G4" i="22"/>
  <c r="G6" i="22"/>
  <c r="F40" i="22"/>
  <c r="H53" i="22"/>
  <c r="G58" i="22"/>
  <c r="H6" i="22"/>
  <c r="G40" i="22"/>
  <c r="G59" i="22"/>
  <c r="J6" i="22"/>
  <c r="D60" i="22"/>
  <c r="C60" i="22"/>
  <c r="K4" i="22"/>
  <c r="K6" i="22"/>
  <c r="I38" i="22"/>
  <c r="D38" i="22" s="1"/>
  <c r="J40" i="22"/>
  <c r="F58" i="22"/>
  <c r="F52" i="22"/>
  <c r="F54" i="22"/>
  <c r="F59" i="22"/>
  <c r="F62" i="22"/>
  <c r="G6" i="47"/>
  <c r="D6" i="47" s="1"/>
  <c r="G7" i="47"/>
  <c r="G37" i="47"/>
  <c r="D56" i="47"/>
  <c r="C56" i="47"/>
  <c r="D60" i="47"/>
  <c r="C60" i="47"/>
  <c r="F7" i="47"/>
  <c r="D38" i="47"/>
  <c r="I6" i="47"/>
  <c r="K38" i="47"/>
  <c r="C38" i="47" s="1"/>
  <c r="G53" i="47"/>
  <c r="K4" i="47"/>
  <c r="H53" i="47"/>
  <c r="F59" i="47"/>
  <c r="J40" i="47"/>
  <c r="F4" i="47"/>
  <c r="F5" i="47"/>
  <c r="K7" i="47"/>
  <c r="D23" i="47"/>
  <c r="J39" i="47"/>
  <c r="F40" i="47"/>
  <c r="D57" i="47"/>
  <c r="C57" i="47"/>
  <c r="I63" i="47"/>
  <c r="H52" i="47"/>
  <c r="H63" i="47"/>
  <c r="F37" i="47"/>
  <c r="G40" i="47"/>
  <c r="J63" i="47"/>
  <c r="K40" i="47"/>
  <c r="H54" i="47"/>
  <c r="H40" i="47"/>
  <c r="K58" i="47"/>
  <c r="K63" i="47"/>
  <c r="I40" i="47"/>
  <c r="G55" i="47"/>
  <c r="D55" i="47" s="1"/>
  <c r="F52" i="47"/>
  <c r="F54" i="47"/>
  <c r="F62" i="47"/>
  <c r="D38" i="35"/>
  <c r="C38" i="35"/>
  <c r="H7" i="35"/>
  <c r="H55" i="35"/>
  <c r="I7" i="35"/>
  <c r="D21" i="35"/>
  <c r="D24" i="35"/>
  <c r="I37" i="35"/>
  <c r="A37" i="35" s="1"/>
  <c r="K52" i="35"/>
  <c r="D52" i="35" s="1"/>
  <c r="I55" i="35"/>
  <c r="H58" i="35"/>
  <c r="A58" i="35" s="1"/>
  <c r="H5" i="35"/>
  <c r="G53" i="35"/>
  <c r="K55" i="35"/>
  <c r="D61" i="35"/>
  <c r="C61" i="35"/>
  <c r="I5" i="35"/>
  <c r="D53" i="35"/>
  <c r="D56" i="35"/>
  <c r="C56" i="35"/>
  <c r="H59" i="35"/>
  <c r="F40" i="35"/>
  <c r="K5" i="35"/>
  <c r="G39" i="35"/>
  <c r="D39" i="35" s="1"/>
  <c r="G40" i="35"/>
  <c r="J59" i="35"/>
  <c r="H40" i="35"/>
  <c r="K7" i="35"/>
  <c r="I40" i="35"/>
  <c r="D4" i="35"/>
  <c r="C4" i="35"/>
  <c r="F6" i="35"/>
  <c r="D63" i="35"/>
  <c r="C63" i="35"/>
  <c r="C58" i="35"/>
  <c r="D58" i="35"/>
  <c r="C52" i="35"/>
  <c r="F62" i="35"/>
  <c r="F7" i="35"/>
  <c r="G6" i="35"/>
  <c r="G39" i="32"/>
  <c r="F63" i="32"/>
  <c r="F38" i="32"/>
  <c r="H63" i="32"/>
  <c r="J52" i="32"/>
  <c r="D56" i="32"/>
  <c r="C56" i="32"/>
  <c r="I54" i="32"/>
  <c r="H38" i="32"/>
  <c r="J58" i="32"/>
  <c r="J63" i="32"/>
  <c r="I38" i="32"/>
  <c r="K58" i="32"/>
  <c r="K52" i="32"/>
  <c r="K54" i="32"/>
  <c r="D54" i="32" s="1"/>
  <c r="K59" i="32"/>
  <c r="J38" i="32"/>
  <c r="D57" i="32"/>
  <c r="C57" i="32"/>
  <c r="J61" i="32"/>
  <c r="J39" i="32"/>
  <c r="K41" i="32"/>
  <c r="D37" i="26"/>
  <c r="C37" i="26"/>
  <c r="C20" i="26"/>
  <c r="D57" i="26"/>
  <c r="C57" i="26"/>
  <c r="D63" i="26"/>
  <c r="C63" i="26"/>
  <c r="F54" i="26"/>
  <c r="F62" i="26"/>
  <c r="F6" i="26"/>
  <c r="K38" i="26"/>
  <c r="J40" i="26"/>
  <c r="C40" i="26" s="1"/>
  <c r="G54" i="26"/>
  <c r="G55" i="26"/>
  <c r="C55" i="26" s="1"/>
  <c r="G4" i="26"/>
  <c r="G6" i="26"/>
  <c r="H60" i="26"/>
  <c r="H58" i="26"/>
  <c r="D58" i="26" s="1"/>
  <c r="H53" i="26"/>
  <c r="H54" i="26"/>
  <c r="H4" i="26"/>
  <c r="H5" i="26"/>
  <c r="H39" i="26"/>
  <c r="I52" i="26"/>
  <c r="I60" i="26"/>
  <c r="J52" i="26"/>
  <c r="J60" i="26"/>
  <c r="J58" i="26"/>
  <c r="J4" i="26"/>
  <c r="J6" i="26"/>
  <c r="K52" i="26"/>
  <c r="K60" i="26"/>
  <c r="C59" i="26"/>
  <c r="D56" i="26"/>
  <c r="C56" i="26"/>
  <c r="D61" i="26"/>
  <c r="C61" i="26"/>
  <c r="D56" i="38"/>
  <c r="C56" i="38"/>
  <c r="C38" i="38"/>
  <c r="D38" i="38"/>
  <c r="D63" i="38"/>
  <c r="C63" i="38"/>
  <c r="J6" i="38"/>
  <c r="J39" i="38"/>
  <c r="J41" i="38"/>
  <c r="G53" i="38"/>
  <c r="F61" i="38"/>
  <c r="K6" i="38"/>
  <c r="F4" i="38"/>
  <c r="F6" i="38"/>
  <c r="H53" i="38"/>
  <c r="G4" i="38"/>
  <c r="G6" i="38"/>
  <c r="F37" i="38"/>
  <c r="K39" i="38"/>
  <c r="F40" i="38"/>
  <c r="I53" i="38"/>
  <c r="G59" i="38"/>
  <c r="H4" i="38"/>
  <c r="H5" i="38"/>
  <c r="G39" i="38"/>
  <c r="G40" i="38"/>
  <c r="J53" i="38"/>
  <c r="I7" i="38"/>
  <c r="H39" i="38"/>
  <c r="H40" i="38"/>
  <c r="H41" i="38"/>
  <c r="D41" i="38" s="1"/>
  <c r="K53" i="38"/>
  <c r="J59" i="38"/>
  <c r="F58" i="38"/>
  <c r="F52" i="38"/>
  <c r="F54" i="38"/>
  <c r="F62" i="38"/>
  <c r="D55" i="38"/>
  <c r="C55" i="38"/>
  <c r="F60" i="38"/>
  <c r="K40" i="38"/>
  <c r="H59" i="38"/>
  <c r="H57" i="38"/>
  <c r="D7" i="39"/>
  <c r="C7" i="39"/>
  <c r="D38" i="39"/>
  <c r="C38" i="39"/>
  <c r="K40" i="39"/>
  <c r="J60" i="39"/>
  <c r="B60" i="39" s="1"/>
  <c r="F40" i="39"/>
  <c r="D57" i="39"/>
  <c r="C57" i="39"/>
  <c r="D63" i="39"/>
  <c r="C63" i="39"/>
  <c r="J6" i="39"/>
  <c r="F4" i="39"/>
  <c r="F6" i="39"/>
  <c r="F37" i="39"/>
  <c r="J52" i="39"/>
  <c r="K60" i="39"/>
  <c r="D60" i="39" s="1"/>
  <c r="F58" i="39"/>
  <c r="G58" i="39"/>
  <c r="G4" i="39"/>
  <c r="G5" i="39"/>
  <c r="G6" i="39"/>
  <c r="G37" i="39"/>
  <c r="H39" i="39"/>
  <c r="K52" i="39"/>
  <c r="D56" i="39"/>
  <c r="C56" i="39"/>
  <c r="D61" i="39"/>
  <c r="C61" i="39"/>
  <c r="K58" i="39"/>
  <c r="H4" i="39"/>
  <c r="H5" i="39"/>
  <c r="H6" i="39"/>
  <c r="I39" i="39"/>
  <c r="F59" i="39"/>
  <c r="I4" i="39"/>
  <c r="I6" i="39"/>
  <c r="J39" i="39"/>
  <c r="I53" i="39"/>
  <c r="G59" i="39"/>
  <c r="K39" i="39"/>
  <c r="I59" i="39"/>
  <c r="C41" i="39"/>
  <c r="K6" i="39"/>
  <c r="J59" i="39"/>
  <c r="D7" i="40"/>
  <c r="C7" i="40"/>
  <c r="D23" i="40"/>
  <c r="K6" i="40"/>
  <c r="H40" i="40"/>
  <c r="D62" i="40"/>
  <c r="I40" i="40"/>
  <c r="J40" i="40"/>
  <c r="H54" i="40"/>
  <c r="F58" i="40"/>
  <c r="G55" i="40"/>
  <c r="D55" i="40" s="1"/>
  <c r="I38" i="40"/>
  <c r="B38" i="40" s="1"/>
  <c r="K40" i="40"/>
  <c r="I54" i="40"/>
  <c r="J4" i="40"/>
  <c r="G58" i="40"/>
  <c r="J52" i="40"/>
  <c r="J60" i="40"/>
  <c r="J58" i="40"/>
  <c r="D41" i="40"/>
  <c r="C41" i="40"/>
  <c r="K5" i="40"/>
  <c r="K60" i="40"/>
  <c r="K58" i="40"/>
  <c r="K52" i="40"/>
  <c r="K54" i="40"/>
  <c r="D57" i="40"/>
  <c r="C57" i="40"/>
  <c r="F4" i="40"/>
  <c r="F6" i="40"/>
  <c r="F37" i="40"/>
  <c r="G39" i="40"/>
  <c r="B39" i="40" s="1"/>
  <c r="G53" i="40"/>
  <c r="C53" i="40" s="1"/>
  <c r="D56" i="40"/>
  <c r="C56" i="40"/>
  <c r="F59" i="40"/>
  <c r="D61" i="40"/>
  <c r="C61" i="40"/>
  <c r="C63" i="40"/>
  <c r="G4" i="40"/>
  <c r="H6" i="40"/>
  <c r="H37" i="40"/>
  <c r="G6" i="40"/>
  <c r="G59" i="40"/>
  <c r="I6" i="40"/>
  <c r="D38" i="41"/>
  <c r="C38" i="41"/>
  <c r="D41" i="41"/>
  <c r="C41" i="41"/>
  <c r="D37" i="41"/>
  <c r="F40" i="41"/>
  <c r="G40" i="41"/>
  <c r="J59" i="41"/>
  <c r="H40" i="41"/>
  <c r="F63" i="41"/>
  <c r="G58" i="41"/>
  <c r="G6" i="41"/>
  <c r="B19" i="41"/>
  <c r="F39" i="41"/>
  <c r="D55" i="41"/>
  <c r="C55" i="41"/>
  <c r="D57" i="41"/>
  <c r="C57" i="41"/>
  <c r="H52" i="41"/>
  <c r="H54" i="41"/>
  <c r="H6" i="41"/>
  <c r="D6" i="41" s="1"/>
  <c r="I52" i="41"/>
  <c r="I54" i="41"/>
  <c r="I4" i="41"/>
  <c r="D4" i="41" s="1"/>
  <c r="I6" i="41"/>
  <c r="C6" i="41" s="1"/>
  <c r="J52" i="41"/>
  <c r="J63" i="41"/>
  <c r="J58" i="41"/>
  <c r="D60" i="41"/>
  <c r="C60" i="41"/>
  <c r="G62" i="41"/>
  <c r="F5" i="41"/>
  <c r="I37" i="41"/>
  <c r="G54" i="41"/>
  <c r="H5" i="41"/>
  <c r="C20" i="41"/>
  <c r="G53" i="41"/>
  <c r="D61" i="41"/>
  <c r="C61" i="41"/>
  <c r="D7" i="41"/>
  <c r="C7" i="41"/>
  <c r="D56" i="41"/>
  <c r="C56" i="41"/>
  <c r="G59" i="41"/>
  <c r="J62" i="45"/>
  <c r="D57" i="45"/>
  <c r="C57" i="45"/>
  <c r="F62" i="45"/>
  <c r="I52" i="45"/>
  <c r="D52" i="45" s="1"/>
  <c r="D60" i="45"/>
  <c r="C60" i="45"/>
  <c r="J52" i="45"/>
  <c r="H6" i="45"/>
  <c r="J55" i="45"/>
  <c r="D55" i="45" s="1"/>
  <c r="J6" i="45"/>
  <c r="F6" i="45"/>
  <c r="I37" i="45"/>
  <c r="K6" i="45"/>
  <c r="G6" i="45"/>
  <c r="D24" i="45"/>
  <c r="F39" i="45"/>
  <c r="F40" i="45"/>
  <c r="I53" i="45"/>
  <c r="D53" i="45" s="1"/>
  <c r="D56" i="45"/>
  <c r="C56" i="45"/>
  <c r="G40" i="45"/>
  <c r="F59" i="45"/>
  <c r="C61" i="45"/>
  <c r="I6" i="45"/>
  <c r="H40" i="45"/>
  <c r="G59" i="45"/>
  <c r="H4" i="45"/>
  <c r="I40" i="45"/>
  <c r="J4" i="45"/>
  <c r="D20" i="45"/>
  <c r="C20" i="45"/>
  <c r="J63" i="45"/>
  <c r="D63" i="45" s="1"/>
  <c r="J38" i="45"/>
  <c r="D38" i="45" s="1"/>
  <c r="D38" i="46"/>
  <c r="C38" i="46"/>
  <c r="K4" i="46"/>
  <c r="J58" i="46"/>
  <c r="A58" i="46" s="1"/>
  <c r="J40" i="46"/>
  <c r="K40" i="46"/>
  <c r="K55" i="46"/>
  <c r="B55" i="46" s="1"/>
  <c r="K7" i="46"/>
  <c r="J54" i="46"/>
  <c r="G59" i="46"/>
  <c r="D56" i="46"/>
  <c r="C56" i="46"/>
  <c r="F37" i="46"/>
  <c r="I39" i="46"/>
  <c r="K5" i="46"/>
  <c r="F4" i="46"/>
  <c r="F5" i="46"/>
  <c r="J39" i="46"/>
  <c r="J53" i="46"/>
  <c r="J59" i="46"/>
  <c r="G5" i="46"/>
  <c r="K53" i="46"/>
  <c r="K59" i="46"/>
  <c r="F62" i="46"/>
  <c r="H4" i="46"/>
  <c r="H6" i="46"/>
  <c r="F39" i="46"/>
  <c r="F40" i="46"/>
  <c r="C55" i="46"/>
  <c r="D57" i="46"/>
  <c r="C57" i="46"/>
  <c r="D60" i="46"/>
  <c r="C60" i="46"/>
  <c r="G58" i="46"/>
  <c r="G52" i="46"/>
  <c r="G54" i="46"/>
  <c r="G63" i="46"/>
  <c r="D63" i="46" s="1"/>
  <c r="D61" i="46"/>
  <c r="C61" i="46"/>
  <c r="I6" i="46"/>
  <c r="G40" i="46"/>
  <c r="H54" i="46"/>
  <c r="H40" i="46"/>
  <c r="I52" i="46"/>
  <c r="I54" i="46"/>
  <c r="C41" i="42"/>
  <c r="F40" i="42"/>
  <c r="K6" i="42"/>
  <c r="G40" i="42"/>
  <c r="K59" i="42"/>
  <c r="D53" i="42"/>
  <c r="D57" i="42"/>
  <c r="C57" i="42"/>
  <c r="F62" i="42"/>
  <c r="J4" i="42"/>
  <c r="H6" i="42"/>
  <c r="K38" i="42"/>
  <c r="A38" i="42" s="1"/>
  <c r="H54" i="42"/>
  <c r="K4" i="42"/>
  <c r="F37" i="42"/>
  <c r="F5" i="42"/>
  <c r="C25" i="42"/>
  <c r="G37" i="42"/>
  <c r="G55" i="42"/>
  <c r="D55" i="42" s="1"/>
  <c r="J63" i="42"/>
  <c r="H37" i="42"/>
  <c r="J60" i="42"/>
  <c r="C60" i="42" s="1"/>
  <c r="K63" i="42"/>
  <c r="H5" i="42"/>
  <c r="K60" i="42"/>
  <c r="G6" i="42"/>
  <c r="D56" i="42"/>
  <c r="C56" i="42"/>
  <c r="D41" i="49"/>
  <c r="C41" i="49"/>
  <c r="I6" i="49"/>
  <c r="J6" i="49"/>
  <c r="F7" i="49"/>
  <c r="D54" i="49"/>
  <c r="C54" i="49"/>
  <c r="D56" i="49"/>
  <c r="C56" i="49"/>
  <c r="C20" i="49"/>
  <c r="D20" i="49"/>
  <c r="I7" i="49"/>
  <c r="G7" i="49"/>
  <c r="J7" i="49"/>
  <c r="J4" i="49"/>
  <c r="C62" i="49"/>
  <c r="C63" i="49"/>
  <c r="G39" i="49"/>
  <c r="D55" i="49"/>
  <c r="C55" i="49"/>
  <c r="D57" i="49"/>
  <c r="C57" i="49"/>
  <c r="D62" i="50"/>
  <c r="C62" i="50"/>
  <c r="D41" i="50"/>
  <c r="F61" i="50"/>
  <c r="D20" i="50"/>
  <c r="C20" i="50"/>
  <c r="D54" i="50"/>
  <c r="C54" i="50"/>
  <c r="J41" i="50"/>
  <c r="B41" i="50" s="1"/>
  <c r="F4" i="50"/>
  <c r="D57" i="50"/>
  <c r="C57" i="50"/>
  <c r="H5" i="50"/>
  <c r="D55" i="50"/>
  <c r="C55" i="50"/>
  <c r="D40" i="50"/>
  <c r="C40" i="50"/>
  <c r="F52" i="50"/>
  <c r="F7" i="50"/>
  <c r="J6" i="50"/>
  <c r="I5" i="50"/>
  <c r="D24" i="50"/>
  <c r="D56" i="50"/>
  <c r="C56" i="50"/>
  <c r="G6" i="50"/>
  <c r="G4" i="50"/>
  <c r="D41" i="51"/>
  <c r="C41" i="51"/>
  <c r="D37" i="51"/>
  <c r="C37" i="51"/>
  <c r="H39" i="51"/>
  <c r="A39" i="51" s="1"/>
  <c r="F4" i="51"/>
  <c r="H6" i="51"/>
  <c r="K5" i="51"/>
  <c r="J62" i="51"/>
  <c r="F6" i="51"/>
  <c r="K58" i="51"/>
  <c r="I63" i="51"/>
  <c r="I59" i="51"/>
  <c r="I58" i="51"/>
  <c r="D55" i="51"/>
  <c r="C55" i="51"/>
  <c r="D57" i="51"/>
  <c r="C57" i="51"/>
  <c r="J60" i="51"/>
  <c r="A60" i="51" s="1"/>
  <c r="K63" i="51"/>
  <c r="H58" i="51"/>
  <c r="D54" i="51"/>
  <c r="C54" i="51"/>
  <c r="K7" i="51"/>
  <c r="J52" i="51"/>
  <c r="K60" i="51"/>
  <c r="B60" i="51" s="1"/>
  <c r="G59" i="51"/>
  <c r="G58" i="51"/>
  <c r="K4" i="51"/>
  <c r="I4" i="51"/>
  <c r="G5" i="51"/>
  <c r="D5" i="51" s="1"/>
  <c r="F38" i="51"/>
  <c r="H4" i="51"/>
  <c r="D56" i="51"/>
  <c r="C56" i="51"/>
  <c r="H4" i="52"/>
  <c r="K40" i="52"/>
  <c r="I40" i="52"/>
  <c r="D40" i="52" s="1"/>
  <c r="K4" i="52"/>
  <c r="K52" i="52"/>
  <c r="K62" i="52"/>
  <c r="J4" i="52"/>
  <c r="D56" i="52"/>
  <c r="C56" i="52"/>
  <c r="K58" i="52"/>
  <c r="C54" i="52"/>
  <c r="D54" i="52"/>
  <c r="I52" i="52"/>
  <c r="K63" i="52"/>
  <c r="K38" i="52"/>
  <c r="C38" i="52" s="1"/>
  <c r="F59" i="52"/>
  <c r="I6" i="52"/>
  <c r="H59" i="52"/>
  <c r="D55" i="52"/>
  <c r="C55" i="52"/>
  <c r="D57" i="52"/>
  <c r="C57" i="52"/>
  <c r="H58" i="52"/>
  <c r="C41" i="53"/>
  <c r="I39" i="53"/>
  <c r="F6" i="53"/>
  <c r="K59" i="53"/>
  <c r="G5" i="53"/>
  <c r="H40" i="53"/>
  <c r="K62" i="53"/>
  <c r="I5" i="53"/>
  <c r="J39" i="53"/>
  <c r="D55" i="53"/>
  <c r="C55" i="53"/>
  <c r="D57" i="53"/>
  <c r="C57" i="53"/>
  <c r="I7" i="53"/>
  <c r="F37" i="53"/>
  <c r="J4" i="53"/>
  <c r="H4" i="53"/>
  <c r="F4" i="53"/>
  <c r="J7" i="53"/>
  <c r="F59" i="53"/>
  <c r="C20" i="53"/>
  <c r="H52" i="53"/>
  <c r="A52" i="53" s="1"/>
  <c r="G7" i="53"/>
  <c r="I4" i="53"/>
  <c r="J63" i="53"/>
  <c r="C54" i="53"/>
  <c r="D54" i="53"/>
  <c r="D56" i="53"/>
  <c r="C56" i="53"/>
  <c r="H39" i="53"/>
  <c r="I63" i="53"/>
  <c r="B63" i="53" s="1"/>
  <c r="H58" i="53"/>
  <c r="H60" i="54"/>
  <c r="C60" i="54" s="1"/>
  <c r="H38" i="54"/>
  <c r="I39" i="54"/>
  <c r="I41" i="54"/>
  <c r="J52" i="54"/>
  <c r="I60" i="54"/>
  <c r="J39" i="54"/>
  <c r="G38" i="54"/>
  <c r="I4" i="54"/>
  <c r="K39" i="54"/>
  <c r="K41" i="54"/>
  <c r="H53" i="54"/>
  <c r="D61" i="54"/>
  <c r="C61" i="54"/>
  <c r="K5" i="54"/>
  <c r="K7" i="54"/>
  <c r="D7" i="54" s="1"/>
  <c r="J63" i="54"/>
  <c r="J59" i="54"/>
  <c r="D56" i="54"/>
  <c r="C56" i="54"/>
  <c r="K62" i="54"/>
  <c r="D62" i="54" s="1"/>
  <c r="J7" i="54"/>
  <c r="I63" i="54"/>
  <c r="D40" i="54"/>
  <c r="C40" i="54"/>
  <c r="D54" i="54"/>
  <c r="C54" i="54"/>
  <c r="J5" i="54"/>
  <c r="I59" i="54"/>
  <c r="I6" i="54"/>
  <c r="F37" i="54"/>
  <c r="F39" i="54"/>
  <c r="D55" i="54"/>
  <c r="C55" i="54"/>
  <c r="D57" i="54"/>
  <c r="C57" i="54"/>
  <c r="D55" i="55"/>
  <c r="C55" i="55"/>
  <c r="D57" i="55"/>
  <c r="C57" i="55"/>
  <c r="J4" i="55"/>
  <c r="J60" i="55"/>
  <c r="I5" i="55"/>
  <c r="F63" i="55"/>
  <c r="J53" i="55"/>
  <c r="K59" i="55"/>
  <c r="I52" i="55"/>
  <c r="G58" i="55"/>
  <c r="D58" i="55" s="1"/>
  <c r="D54" i="55"/>
  <c r="C54" i="55"/>
  <c r="D56" i="55"/>
  <c r="C56" i="55"/>
  <c r="F4" i="55"/>
  <c r="G61" i="55"/>
  <c r="B61" i="55" s="1"/>
  <c r="K6" i="55"/>
  <c r="C7" i="55"/>
  <c r="D41" i="55"/>
  <c r="C41" i="55"/>
  <c r="I39" i="55"/>
  <c r="I63" i="55"/>
  <c r="K39" i="55"/>
  <c r="H7" i="55"/>
  <c r="D61" i="55"/>
  <c r="I4" i="55"/>
  <c r="G6" i="55"/>
  <c r="C52" i="56"/>
  <c r="D52" i="56"/>
  <c r="D54" i="56"/>
  <c r="C54" i="56"/>
  <c r="G37" i="56"/>
  <c r="F59" i="56"/>
  <c r="I39" i="56"/>
  <c r="D55" i="56"/>
  <c r="C55" i="56"/>
  <c r="D41" i="56"/>
  <c r="C41" i="56"/>
  <c r="G58" i="56"/>
  <c r="C58" i="56" s="1"/>
  <c r="J63" i="56"/>
  <c r="C40" i="56"/>
  <c r="D40" i="56"/>
  <c r="G5" i="56"/>
  <c r="D5" i="56" s="1"/>
  <c r="D57" i="56"/>
  <c r="C57" i="56"/>
  <c r="C56" i="56"/>
  <c r="D56" i="56"/>
  <c r="I38" i="57"/>
  <c r="I4" i="57"/>
  <c r="J6" i="57"/>
  <c r="J60" i="57"/>
  <c r="K5" i="57"/>
  <c r="D55" i="57"/>
  <c r="C55" i="57"/>
  <c r="F59" i="57"/>
  <c r="J41" i="57"/>
  <c r="I63" i="57"/>
  <c r="J59" i="57"/>
  <c r="H58" i="57"/>
  <c r="D7" i="57"/>
  <c r="C7" i="57"/>
  <c r="G39" i="57"/>
  <c r="H63" i="57"/>
  <c r="K59" i="57"/>
  <c r="G58" i="57"/>
  <c r="D61" i="57"/>
  <c r="C61" i="57"/>
  <c r="H59" i="57"/>
  <c r="D57" i="57"/>
  <c r="C57" i="57"/>
  <c r="D54" i="57"/>
  <c r="C54" i="57"/>
  <c r="D56" i="57"/>
  <c r="C56" i="57"/>
  <c r="G41" i="57"/>
  <c r="D41" i="57" s="1"/>
  <c r="J39" i="57"/>
  <c r="G59" i="57"/>
  <c r="J62" i="57"/>
  <c r="D41" i="48"/>
  <c r="C41" i="48"/>
  <c r="K5" i="48"/>
  <c r="H52" i="48"/>
  <c r="H6" i="48"/>
  <c r="I52" i="48"/>
  <c r="J6" i="48"/>
  <c r="G6" i="48"/>
  <c r="H39" i="48"/>
  <c r="I39" i="48"/>
  <c r="G5" i="48"/>
  <c r="H37" i="48"/>
  <c r="J39" i="48"/>
  <c r="G59" i="48"/>
  <c r="H5" i="48"/>
  <c r="I37" i="48"/>
  <c r="C37" i="48" s="1"/>
  <c r="K39" i="48"/>
  <c r="H59" i="48"/>
  <c r="K7" i="48"/>
  <c r="H38" i="48"/>
  <c r="C38" i="48" s="1"/>
  <c r="J37" i="48"/>
  <c r="H60" i="48"/>
  <c r="I59" i="48"/>
  <c r="K37" i="48"/>
  <c r="I60" i="48"/>
  <c r="C60" i="48" s="1"/>
  <c r="J59" i="48"/>
  <c r="K63" i="48"/>
  <c r="J60" i="48"/>
  <c r="G63" i="48"/>
  <c r="D62" i="48"/>
  <c r="C62" i="48"/>
  <c r="F63" i="58"/>
  <c r="H5" i="58"/>
  <c r="H7" i="58"/>
  <c r="G58" i="58"/>
  <c r="I4" i="58"/>
  <c r="F7" i="58"/>
  <c r="G5" i="58"/>
  <c r="G7" i="58"/>
  <c r="F59" i="58"/>
  <c r="I5" i="58"/>
  <c r="I7" i="58"/>
  <c r="J5" i="58"/>
  <c r="J7" i="58"/>
  <c r="H4" i="58"/>
  <c r="F6" i="58"/>
  <c r="K52" i="58"/>
  <c r="F5" i="58"/>
  <c r="G59" i="58"/>
  <c r="F52" i="58"/>
  <c r="G6" i="58"/>
  <c r="G52" i="58"/>
  <c r="H6" i="58"/>
  <c r="H52" i="58"/>
  <c r="F60" i="58"/>
  <c r="I6" i="58"/>
  <c r="J52" i="58"/>
  <c r="G60" i="58"/>
  <c r="J6" i="58"/>
  <c r="H60" i="58"/>
  <c r="H53" i="58"/>
  <c r="I60" i="58"/>
  <c r="G4" i="58"/>
  <c r="K60" i="58"/>
  <c r="J60" i="58"/>
  <c r="I52" i="58"/>
  <c r="F53" i="58"/>
  <c r="G53" i="58"/>
  <c r="I53" i="58"/>
  <c r="J4" i="58"/>
  <c r="J53" i="58"/>
  <c r="G7" i="48"/>
  <c r="G53" i="48"/>
  <c r="H53" i="48"/>
  <c r="I53" i="48"/>
  <c r="I58" i="57"/>
  <c r="J58" i="57"/>
  <c r="K63" i="57"/>
  <c r="I52" i="57"/>
  <c r="J52" i="57"/>
  <c r="I59" i="57"/>
  <c r="H38" i="57"/>
  <c r="J37" i="57"/>
  <c r="F39" i="57"/>
  <c r="F40" i="57"/>
  <c r="H4" i="57"/>
  <c r="H5" i="57"/>
  <c r="C5" i="57" s="1"/>
  <c r="J4" i="57"/>
  <c r="K4" i="57"/>
  <c r="G6" i="57"/>
  <c r="D6" i="57" s="1"/>
  <c r="H6" i="57"/>
  <c r="H38" i="56"/>
  <c r="I38" i="56"/>
  <c r="J39" i="56"/>
  <c r="G6" i="56"/>
  <c r="G7" i="56"/>
  <c r="G4" i="56"/>
  <c r="D4" i="56" s="1"/>
  <c r="H61" i="56"/>
  <c r="J61" i="56"/>
  <c r="G59" i="56"/>
  <c r="G52" i="57"/>
  <c r="F52" i="57"/>
  <c r="F53" i="57"/>
  <c r="G4" i="57"/>
  <c r="G60" i="57"/>
  <c r="G37" i="57"/>
  <c r="G53" i="57"/>
  <c r="H53" i="57"/>
  <c r="J53" i="57"/>
  <c r="F53" i="56"/>
  <c r="G53" i="56"/>
  <c r="I60" i="56"/>
  <c r="I63" i="56"/>
  <c r="D63" i="56" s="1"/>
  <c r="I58" i="55"/>
  <c r="I59" i="55"/>
  <c r="G59" i="55"/>
  <c r="K62" i="55"/>
  <c r="D62" i="55" s="1"/>
  <c r="J59" i="55"/>
  <c r="G60" i="55"/>
  <c r="J39" i="55"/>
  <c r="J37" i="55"/>
  <c r="I40" i="55"/>
  <c r="C40" i="55" s="1"/>
  <c r="G38" i="55"/>
  <c r="C38" i="55" s="1"/>
  <c r="H38" i="55"/>
  <c r="I37" i="55"/>
  <c r="B37" i="55" s="1"/>
  <c r="G7" i="55"/>
  <c r="D7" i="55" s="1"/>
  <c r="G4" i="55"/>
  <c r="G5" i="55"/>
  <c r="H4" i="55"/>
  <c r="H5" i="55"/>
  <c r="J5" i="55"/>
  <c r="K52" i="55"/>
  <c r="F52" i="55"/>
  <c r="G52" i="55"/>
  <c r="K60" i="55"/>
  <c r="J52" i="55"/>
  <c r="H53" i="55"/>
  <c r="C53" i="55" s="1"/>
  <c r="I53" i="55"/>
  <c r="K4" i="55"/>
  <c r="K53" i="55"/>
  <c r="G4" i="54"/>
  <c r="B4" i="54" s="1"/>
  <c r="F52" i="54"/>
  <c r="F5" i="54"/>
  <c r="F53" i="54"/>
  <c r="F63" i="54"/>
  <c r="K38" i="54"/>
  <c r="K52" i="54"/>
  <c r="I53" i="54"/>
  <c r="K60" i="54"/>
  <c r="J53" i="54"/>
  <c r="K53" i="54"/>
  <c r="I58" i="53"/>
  <c r="J59" i="53"/>
  <c r="G60" i="53"/>
  <c r="D60" i="53" s="1"/>
  <c r="J52" i="53"/>
  <c r="J53" i="53"/>
  <c r="G38" i="53"/>
  <c r="D38" i="53" s="1"/>
  <c r="J40" i="53"/>
  <c r="K5" i="53"/>
  <c r="K4" i="53"/>
  <c r="H6" i="53"/>
  <c r="H7" i="53"/>
  <c r="K6" i="53"/>
  <c r="H5" i="53"/>
  <c r="D5" i="53" s="1"/>
  <c r="J58" i="52"/>
  <c r="G60" i="52"/>
  <c r="K5" i="52"/>
  <c r="I4" i="52"/>
  <c r="G52" i="51"/>
  <c r="C52" i="51" s="1"/>
  <c r="H62" i="51"/>
  <c r="I52" i="51"/>
  <c r="K40" i="51"/>
  <c r="D40" i="51" s="1"/>
  <c r="G4" i="51"/>
  <c r="G7" i="51"/>
  <c r="J63" i="50"/>
  <c r="I6" i="50"/>
  <c r="I40" i="49"/>
  <c r="J40" i="49"/>
  <c r="I39" i="49"/>
  <c r="J39" i="49"/>
  <c r="H37" i="49"/>
  <c r="H40" i="49"/>
  <c r="I52" i="53"/>
  <c r="B52" i="53" s="1"/>
  <c r="F53" i="53"/>
  <c r="G53" i="53"/>
  <c r="H53" i="53"/>
  <c r="I53" i="53"/>
  <c r="H6" i="52"/>
  <c r="J6" i="52"/>
  <c r="K6" i="52"/>
  <c r="H5" i="52"/>
  <c r="G58" i="52"/>
  <c r="F39" i="52"/>
  <c r="F41" i="52"/>
  <c r="J59" i="52"/>
  <c r="G4" i="52"/>
  <c r="G7" i="52"/>
  <c r="G37" i="52"/>
  <c r="G39" i="52"/>
  <c r="G41" i="52"/>
  <c r="I63" i="52"/>
  <c r="H39" i="52"/>
  <c r="H41" i="52"/>
  <c r="J52" i="52"/>
  <c r="H60" i="52"/>
  <c r="I5" i="52"/>
  <c r="I7" i="52"/>
  <c r="I37" i="52"/>
  <c r="I39" i="52"/>
  <c r="I41" i="52"/>
  <c r="I60" i="52"/>
  <c r="J5" i="52"/>
  <c r="J7" i="52"/>
  <c r="J37" i="52"/>
  <c r="J39" i="52"/>
  <c r="J41" i="52"/>
  <c r="I53" i="52"/>
  <c r="J60" i="52"/>
  <c r="K39" i="52"/>
  <c r="K41" i="52"/>
  <c r="G6" i="52"/>
  <c r="D24" i="52"/>
  <c r="G52" i="52"/>
  <c r="A52" i="52" s="1"/>
  <c r="F5" i="52"/>
  <c r="F37" i="52"/>
  <c r="F53" i="52"/>
  <c r="F63" i="52"/>
  <c r="F60" i="52"/>
  <c r="G5" i="52"/>
  <c r="A19" i="52"/>
  <c r="G53" i="52"/>
  <c r="G59" i="52"/>
  <c r="G63" i="52"/>
  <c r="H53" i="52"/>
  <c r="G6" i="51"/>
  <c r="G38" i="51"/>
  <c r="F53" i="51"/>
  <c r="F63" i="51"/>
  <c r="G53" i="51"/>
  <c r="G63" i="51"/>
  <c r="H53" i="51"/>
  <c r="H4" i="50"/>
  <c r="J5" i="50"/>
  <c r="I4" i="50"/>
  <c r="J4" i="50"/>
  <c r="I39" i="50"/>
  <c r="D39" i="50" s="1"/>
  <c r="F38" i="50"/>
  <c r="J39" i="50"/>
  <c r="F59" i="50"/>
  <c r="G38" i="50"/>
  <c r="I37" i="50"/>
  <c r="C37" i="50" s="1"/>
  <c r="J37" i="50"/>
  <c r="H59" i="50"/>
  <c r="G7" i="50"/>
  <c r="I38" i="50"/>
  <c r="H60" i="50"/>
  <c r="I59" i="50"/>
  <c r="F5" i="50"/>
  <c r="H7" i="50"/>
  <c r="J38" i="50"/>
  <c r="I60" i="50"/>
  <c r="F63" i="50"/>
  <c r="J59" i="50"/>
  <c r="H52" i="50"/>
  <c r="G5" i="50"/>
  <c r="I7" i="50"/>
  <c r="J60" i="50"/>
  <c r="G63" i="50"/>
  <c r="F53" i="50"/>
  <c r="H38" i="49"/>
  <c r="K40" i="49"/>
  <c r="K37" i="49"/>
  <c r="K4" i="49"/>
  <c r="K6" i="49"/>
  <c r="H4" i="49"/>
  <c r="G5" i="49"/>
  <c r="H5" i="49"/>
  <c r="H7" i="49"/>
  <c r="G39" i="36"/>
  <c r="H39" i="36"/>
  <c r="H4" i="36"/>
  <c r="H5" i="36"/>
  <c r="I4" i="36"/>
  <c r="K62" i="20"/>
  <c r="J62" i="20"/>
  <c r="H59" i="20"/>
  <c r="K59" i="20"/>
  <c r="I58" i="20"/>
  <c r="J58" i="20"/>
  <c r="K58" i="20"/>
  <c r="G61" i="20"/>
  <c r="H61" i="20"/>
  <c r="I61" i="20"/>
  <c r="J61" i="20"/>
  <c r="I4" i="20"/>
  <c r="K6" i="20"/>
  <c r="K5" i="20"/>
  <c r="F59" i="20"/>
  <c r="F52" i="20"/>
  <c r="F38" i="20"/>
  <c r="F4" i="20"/>
  <c r="F59" i="42"/>
  <c r="F6" i="42"/>
  <c r="G59" i="42"/>
  <c r="G62" i="42"/>
  <c r="F7" i="46"/>
  <c r="F6" i="46"/>
  <c r="G6" i="46"/>
  <c r="G62" i="46"/>
  <c r="G37" i="46"/>
  <c r="F37" i="45"/>
  <c r="C21" i="45"/>
  <c r="F54" i="45"/>
  <c r="F59" i="41"/>
  <c r="F62" i="41"/>
  <c r="H55" i="39"/>
  <c r="D55" i="39" s="1"/>
  <c r="G53" i="39"/>
  <c r="D53" i="39" s="1"/>
  <c r="H59" i="39"/>
  <c r="H62" i="39"/>
  <c r="D62" i="39" s="1"/>
  <c r="H7" i="38"/>
  <c r="D7" i="38" s="1"/>
  <c r="G54" i="38"/>
  <c r="G37" i="38"/>
  <c r="H6" i="38"/>
  <c r="H54" i="38"/>
  <c r="G7" i="26"/>
  <c r="D7" i="26" s="1"/>
  <c r="H59" i="26"/>
  <c r="G5" i="26"/>
  <c r="G52" i="26"/>
  <c r="G53" i="26"/>
  <c r="D53" i="26" s="1"/>
  <c r="H6" i="26"/>
  <c r="H52" i="26"/>
  <c r="H7" i="26"/>
  <c r="H59" i="47"/>
  <c r="H58" i="47"/>
  <c r="D58" i="47" s="1"/>
  <c r="J52" i="47"/>
  <c r="I58" i="47"/>
  <c r="I52" i="47"/>
  <c r="K52" i="47"/>
  <c r="I59" i="32"/>
  <c r="K40" i="32"/>
  <c r="I6" i="32"/>
  <c r="F6" i="32"/>
  <c r="J6" i="32"/>
  <c r="G7" i="32"/>
  <c r="F7" i="32"/>
  <c r="H6" i="32"/>
  <c r="J5" i="32"/>
  <c r="F39" i="32"/>
  <c r="F40" i="32"/>
  <c r="K4" i="32"/>
  <c r="K6" i="32"/>
  <c r="G40" i="32"/>
  <c r="I4" i="32"/>
  <c r="H40" i="32"/>
  <c r="F5" i="32"/>
  <c r="G55" i="32"/>
  <c r="K55" i="32"/>
  <c r="A55" i="32" s="1"/>
  <c r="K63" i="32"/>
  <c r="G58" i="32"/>
  <c r="I55" i="32"/>
  <c r="H53" i="32"/>
  <c r="D53" i="32" s="1"/>
  <c r="I41" i="32"/>
  <c r="H59" i="32"/>
  <c r="K53" i="32"/>
  <c r="J59" i="32"/>
  <c r="F58" i="32"/>
  <c r="F52" i="32"/>
  <c r="F62" i="32"/>
  <c r="G5" i="32"/>
  <c r="G59" i="32"/>
  <c r="G6" i="32"/>
  <c r="G62" i="32"/>
  <c r="K37" i="32"/>
  <c r="G59" i="35"/>
  <c r="F59" i="35"/>
  <c r="G37" i="35"/>
  <c r="G55" i="35"/>
  <c r="D55" i="35" s="1"/>
  <c r="I37" i="47"/>
  <c r="I59" i="47"/>
  <c r="I54" i="47"/>
  <c r="I62" i="47"/>
  <c r="F7" i="22"/>
  <c r="I59" i="22"/>
  <c r="F6" i="22"/>
  <c r="F55" i="31"/>
  <c r="F52" i="31"/>
  <c r="F6" i="30"/>
  <c r="F52" i="30"/>
  <c r="G55" i="3"/>
  <c r="H37" i="3"/>
  <c r="H53" i="3"/>
  <c r="C53" i="3" s="1"/>
  <c r="G5" i="3"/>
  <c r="G59" i="3"/>
  <c r="D59" i="3" s="1"/>
  <c r="H59" i="3"/>
  <c r="G6" i="3"/>
  <c r="G62" i="3"/>
  <c r="F59" i="29"/>
  <c r="G37" i="28"/>
  <c r="D37" i="28" s="1"/>
  <c r="G55" i="28"/>
  <c r="G59" i="28"/>
  <c r="G6" i="28"/>
  <c r="I55" i="28"/>
  <c r="I6" i="28"/>
  <c r="I52" i="28"/>
  <c r="I62" i="28"/>
  <c r="G7" i="16"/>
  <c r="F55" i="16"/>
  <c r="F52" i="16"/>
  <c r="I53" i="16"/>
  <c r="F39" i="16"/>
  <c r="I52" i="16"/>
  <c r="F55" i="37"/>
  <c r="F5" i="37"/>
  <c r="H63" i="7"/>
  <c r="K60" i="7"/>
  <c r="H58" i="7"/>
  <c r="K58" i="7"/>
  <c r="K59" i="7"/>
  <c r="K53" i="7"/>
  <c r="C53" i="7" s="1"/>
  <c r="H60" i="7"/>
  <c r="H52" i="7"/>
  <c r="I38" i="7"/>
  <c r="F37" i="7"/>
  <c r="J22" i="7"/>
  <c r="I22" i="7"/>
  <c r="K24" i="7"/>
  <c r="J23" i="7"/>
  <c r="K22" i="7"/>
  <c r="K23" i="7"/>
  <c r="I4" i="7"/>
  <c r="H4" i="7"/>
  <c r="K4" i="7"/>
  <c r="D62" i="58" l="1"/>
  <c r="H22" i="58"/>
  <c r="A62" i="58"/>
  <c r="G22" i="58"/>
  <c r="C52" i="48"/>
  <c r="C58" i="48"/>
  <c r="D40" i="48"/>
  <c r="J22" i="57"/>
  <c r="B37" i="56"/>
  <c r="A20" i="56"/>
  <c r="C62" i="56"/>
  <c r="D39" i="56"/>
  <c r="A62" i="56"/>
  <c r="D19" i="55"/>
  <c r="C23" i="55"/>
  <c r="C25" i="55"/>
  <c r="A37" i="55"/>
  <c r="D6" i="55"/>
  <c r="A7" i="55"/>
  <c r="B39" i="55"/>
  <c r="C39" i="55"/>
  <c r="C5" i="55"/>
  <c r="B7" i="55"/>
  <c r="B53" i="55"/>
  <c r="B19" i="54"/>
  <c r="B7" i="54"/>
  <c r="A60" i="54"/>
  <c r="C4" i="54"/>
  <c r="B58" i="54"/>
  <c r="D20" i="53"/>
  <c r="D41" i="53"/>
  <c r="A25" i="53"/>
  <c r="D24" i="53"/>
  <c r="D40" i="53"/>
  <c r="B62" i="53"/>
  <c r="C61" i="53"/>
  <c r="C25" i="53"/>
  <c r="A7" i="53"/>
  <c r="B20" i="53"/>
  <c r="B7" i="53"/>
  <c r="C52" i="53"/>
  <c r="D52" i="53"/>
  <c r="A20" i="53"/>
  <c r="I22" i="53"/>
  <c r="C62" i="52"/>
  <c r="B38" i="52"/>
  <c r="B7" i="52"/>
  <c r="A20" i="52"/>
  <c r="D20" i="52"/>
  <c r="B20" i="52"/>
  <c r="C20" i="52"/>
  <c r="I22" i="52"/>
  <c r="D62" i="51"/>
  <c r="B7" i="51"/>
  <c r="F22" i="51"/>
  <c r="D20" i="51"/>
  <c r="B20" i="51"/>
  <c r="A20" i="51"/>
  <c r="C20" i="51"/>
  <c r="A25" i="51"/>
  <c r="D25" i="51"/>
  <c r="B25" i="51"/>
  <c r="C25" i="51"/>
  <c r="C61" i="51"/>
  <c r="A24" i="51"/>
  <c r="C24" i="51"/>
  <c r="B24" i="51"/>
  <c r="D24" i="51"/>
  <c r="D19" i="51"/>
  <c r="A19" i="51"/>
  <c r="B19" i="51"/>
  <c r="C19" i="51"/>
  <c r="D61" i="51"/>
  <c r="D23" i="51"/>
  <c r="A23" i="51"/>
  <c r="B23" i="51"/>
  <c r="C23" i="51"/>
  <c r="K22" i="51"/>
  <c r="A21" i="51"/>
  <c r="D21" i="51"/>
  <c r="B21" i="51"/>
  <c r="C21" i="51"/>
  <c r="A40" i="51"/>
  <c r="C41" i="50"/>
  <c r="A41" i="50"/>
  <c r="B39" i="50"/>
  <c r="J22" i="50"/>
  <c r="D63" i="49"/>
  <c r="A60" i="49"/>
  <c r="D61" i="49"/>
  <c r="A6" i="49"/>
  <c r="B60" i="49"/>
  <c r="J22" i="49"/>
  <c r="D38" i="49"/>
  <c r="B62" i="49"/>
  <c r="I22" i="49"/>
  <c r="B40" i="49"/>
  <c r="H22" i="49"/>
  <c r="D22" i="49" s="1"/>
  <c r="B39" i="49"/>
  <c r="B4" i="49"/>
  <c r="C60" i="49"/>
  <c r="A39" i="49"/>
  <c r="D5" i="49"/>
  <c r="D37" i="49"/>
  <c r="K22" i="42"/>
  <c r="C52" i="42"/>
  <c r="C39" i="42"/>
  <c r="B63" i="42"/>
  <c r="D38" i="42"/>
  <c r="D58" i="42"/>
  <c r="F22" i="42"/>
  <c r="J22" i="42"/>
  <c r="A60" i="42"/>
  <c r="C61" i="42"/>
  <c r="B38" i="42"/>
  <c r="C7" i="42"/>
  <c r="D54" i="42"/>
  <c r="A20" i="42"/>
  <c r="H22" i="42"/>
  <c r="D58" i="46"/>
  <c r="C58" i="46"/>
  <c r="C20" i="46"/>
  <c r="C59" i="46"/>
  <c r="C52" i="46"/>
  <c r="D19" i="46"/>
  <c r="C19" i="46"/>
  <c r="D55" i="46"/>
  <c r="D53" i="46"/>
  <c r="I22" i="46"/>
  <c r="D61" i="45"/>
  <c r="A61" i="45"/>
  <c r="C25" i="45"/>
  <c r="A52" i="45"/>
  <c r="F22" i="45"/>
  <c r="C7" i="45"/>
  <c r="D25" i="45"/>
  <c r="A41" i="45"/>
  <c r="C5" i="45"/>
  <c r="B41" i="45"/>
  <c r="A25" i="45"/>
  <c r="B5" i="45"/>
  <c r="C41" i="45"/>
  <c r="B7" i="45"/>
  <c r="A53" i="45"/>
  <c r="J22" i="45"/>
  <c r="H22" i="45"/>
  <c r="D20" i="41"/>
  <c r="C25" i="41"/>
  <c r="C37" i="41"/>
  <c r="B20" i="41"/>
  <c r="F22" i="41"/>
  <c r="B23" i="41"/>
  <c r="C4" i="41"/>
  <c r="D53" i="41"/>
  <c r="C23" i="41"/>
  <c r="D54" i="41"/>
  <c r="D23" i="41"/>
  <c r="C54" i="40"/>
  <c r="G22" i="40"/>
  <c r="D39" i="40"/>
  <c r="C5" i="40"/>
  <c r="B5" i="40"/>
  <c r="B60" i="40"/>
  <c r="H22" i="40"/>
  <c r="F22" i="39"/>
  <c r="D5" i="39"/>
  <c r="D54" i="39"/>
  <c r="D23" i="39"/>
  <c r="A41" i="39"/>
  <c r="B41" i="39"/>
  <c r="D20" i="39"/>
  <c r="A55" i="39"/>
  <c r="B39" i="39"/>
  <c r="D57" i="38"/>
  <c r="F22" i="38"/>
  <c r="B59" i="38"/>
  <c r="I23" i="36"/>
  <c r="I25" i="36"/>
  <c r="I24" i="36"/>
  <c r="C37" i="36"/>
  <c r="H20" i="36"/>
  <c r="H21" i="36"/>
  <c r="J19" i="36"/>
  <c r="K25" i="36"/>
  <c r="K24" i="36"/>
  <c r="B39" i="36"/>
  <c r="A61" i="36"/>
  <c r="F23" i="36"/>
  <c r="F25" i="36"/>
  <c r="F24" i="36"/>
  <c r="F20" i="36"/>
  <c r="H23" i="36"/>
  <c r="H25" i="36"/>
  <c r="H24" i="36"/>
  <c r="A24" i="36" s="1"/>
  <c r="I62" i="36"/>
  <c r="I53" i="36"/>
  <c r="D53" i="36" s="1"/>
  <c r="J25" i="36"/>
  <c r="D25" i="36" s="1"/>
  <c r="J23" i="36"/>
  <c r="J24" i="36"/>
  <c r="D37" i="36"/>
  <c r="F19" i="36"/>
  <c r="F22" i="36" s="1"/>
  <c r="F21" i="36"/>
  <c r="D7" i="36"/>
  <c r="G53" i="36"/>
  <c r="G62" i="36"/>
  <c r="D39" i="36"/>
  <c r="I19" i="36"/>
  <c r="K19" i="36"/>
  <c r="K22" i="36" s="1"/>
  <c r="I20" i="36"/>
  <c r="I22" i="36" s="1"/>
  <c r="J20" i="36"/>
  <c r="I21" i="36"/>
  <c r="B59" i="26"/>
  <c r="C41" i="26"/>
  <c r="C58" i="26"/>
  <c r="B5" i="26"/>
  <c r="A23" i="26"/>
  <c r="A37" i="26"/>
  <c r="D59" i="26"/>
  <c r="D20" i="26"/>
  <c r="H22" i="26"/>
  <c r="B23" i="26"/>
  <c r="D39" i="26"/>
  <c r="D38" i="26"/>
  <c r="C23" i="26"/>
  <c r="A58" i="26"/>
  <c r="G22" i="26"/>
  <c r="C53" i="32"/>
  <c r="A24" i="32"/>
  <c r="B24" i="32"/>
  <c r="C24" i="32"/>
  <c r="D24" i="32"/>
  <c r="A25" i="32"/>
  <c r="B25" i="32"/>
  <c r="C25" i="32"/>
  <c r="D25" i="32"/>
  <c r="B59" i="32"/>
  <c r="A21" i="32"/>
  <c r="B21" i="32"/>
  <c r="C21" i="32"/>
  <c r="D21" i="32"/>
  <c r="C60" i="32"/>
  <c r="A19" i="32"/>
  <c r="B19" i="32"/>
  <c r="C19" i="32"/>
  <c r="D19" i="32"/>
  <c r="I22" i="32"/>
  <c r="K22" i="32"/>
  <c r="A59" i="32"/>
  <c r="D60" i="32"/>
  <c r="D41" i="32"/>
  <c r="F22" i="32"/>
  <c r="C20" i="32"/>
  <c r="A20" i="32"/>
  <c r="D20" i="32"/>
  <c r="B20" i="32"/>
  <c r="C23" i="32"/>
  <c r="D23" i="32"/>
  <c r="B23" i="32"/>
  <c r="A23" i="32"/>
  <c r="D57" i="35"/>
  <c r="B57" i="35"/>
  <c r="D54" i="35"/>
  <c r="B52" i="35"/>
  <c r="A52" i="35"/>
  <c r="D5" i="35"/>
  <c r="A41" i="35"/>
  <c r="C23" i="35"/>
  <c r="B41" i="35"/>
  <c r="A23" i="35"/>
  <c r="A25" i="35"/>
  <c r="C20" i="35"/>
  <c r="B23" i="35"/>
  <c r="B20" i="35"/>
  <c r="J22" i="35"/>
  <c r="C60" i="35"/>
  <c r="D20" i="35"/>
  <c r="C41" i="35"/>
  <c r="A20" i="35"/>
  <c r="A55" i="35"/>
  <c r="B37" i="35"/>
  <c r="D60" i="35"/>
  <c r="C57" i="35"/>
  <c r="C41" i="47"/>
  <c r="I22" i="47"/>
  <c r="K22" i="47"/>
  <c r="D53" i="47"/>
  <c r="C19" i="22"/>
  <c r="I22" i="22"/>
  <c r="D19" i="22"/>
  <c r="A19" i="22"/>
  <c r="D21" i="22"/>
  <c r="C63" i="22"/>
  <c r="F22" i="22"/>
  <c r="D20" i="22"/>
  <c r="C20" i="22"/>
  <c r="B20" i="22"/>
  <c r="A20" i="22"/>
  <c r="B21" i="22"/>
  <c r="A24" i="22"/>
  <c r="B24" i="22"/>
  <c r="C24" i="22"/>
  <c r="D24" i="22"/>
  <c r="D23" i="22"/>
  <c r="B23" i="22"/>
  <c r="A23" i="22"/>
  <c r="C23" i="22"/>
  <c r="A25" i="22"/>
  <c r="B25" i="22"/>
  <c r="C25" i="22"/>
  <c r="D25" i="22"/>
  <c r="D54" i="31"/>
  <c r="D60" i="31"/>
  <c r="D41" i="31"/>
  <c r="A7" i="31"/>
  <c r="A41" i="31"/>
  <c r="C25" i="31"/>
  <c r="C58" i="31"/>
  <c r="C61" i="31"/>
  <c r="A61" i="31"/>
  <c r="D53" i="31"/>
  <c r="K22" i="31"/>
  <c r="G22" i="31"/>
  <c r="D59" i="31"/>
  <c r="D4" i="31"/>
  <c r="C41" i="31"/>
  <c r="H22" i="30"/>
  <c r="B63" i="30"/>
  <c r="B19" i="30"/>
  <c r="C24" i="30"/>
  <c r="A55" i="30"/>
  <c r="B55" i="30"/>
  <c r="D53" i="30"/>
  <c r="D19" i="30"/>
  <c r="B23" i="30"/>
  <c r="D25" i="30"/>
  <c r="G22" i="30"/>
  <c r="D22" i="30" s="1"/>
  <c r="C25" i="30"/>
  <c r="C37" i="30"/>
  <c r="K22" i="30"/>
  <c r="C21" i="30"/>
  <c r="D60" i="30"/>
  <c r="C55" i="30"/>
  <c r="B56" i="30"/>
  <c r="F22" i="30"/>
  <c r="I22" i="3"/>
  <c r="D5" i="3"/>
  <c r="C58" i="3"/>
  <c r="C59" i="3"/>
  <c r="B55" i="3"/>
  <c r="H22" i="3"/>
  <c r="K22" i="3"/>
  <c r="A59" i="48"/>
  <c r="B59" i="48"/>
  <c r="B40" i="48"/>
  <c r="D39" i="48"/>
  <c r="D24" i="48"/>
  <c r="A61" i="48"/>
  <c r="B21" i="48"/>
  <c r="C61" i="48"/>
  <c r="C39" i="48"/>
  <c r="C40" i="48"/>
  <c r="B58" i="48"/>
  <c r="B5" i="48"/>
  <c r="C63" i="48"/>
  <c r="D61" i="48"/>
  <c r="D58" i="48"/>
  <c r="D4" i="48"/>
  <c r="D60" i="48"/>
  <c r="A25" i="57"/>
  <c r="B25" i="57"/>
  <c r="C25" i="57"/>
  <c r="D25" i="57"/>
  <c r="D63" i="57"/>
  <c r="B6" i="57"/>
  <c r="A20" i="57"/>
  <c r="B20" i="57"/>
  <c r="C20" i="57"/>
  <c r="D20" i="57"/>
  <c r="D24" i="57"/>
  <c r="B24" i="57"/>
  <c r="A24" i="57"/>
  <c r="C24" i="57"/>
  <c r="D58" i="57"/>
  <c r="A23" i="57"/>
  <c r="B23" i="57"/>
  <c r="C23" i="57"/>
  <c r="D23" i="57"/>
  <c r="A19" i="57"/>
  <c r="B19" i="57"/>
  <c r="C19" i="57"/>
  <c r="D19" i="57"/>
  <c r="B61" i="57"/>
  <c r="D21" i="57"/>
  <c r="B21" i="57"/>
  <c r="A21" i="57"/>
  <c r="C21" i="57"/>
  <c r="D62" i="57"/>
  <c r="C37" i="57"/>
  <c r="D38" i="57"/>
  <c r="D60" i="57"/>
  <c r="D4" i="57"/>
  <c r="C6" i="57"/>
  <c r="I22" i="57"/>
  <c r="D60" i="56"/>
  <c r="B5" i="56"/>
  <c r="D38" i="56"/>
  <c r="B39" i="56"/>
  <c r="C61" i="56"/>
  <c r="C39" i="56"/>
  <c r="C37" i="56"/>
  <c r="B38" i="56"/>
  <c r="D6" i="29"/>
  <c r="D25" i="29"/>
  <c r="D39" i="29"/>
  <c r="C54" i="29"/>
  <c r="D52" i="29"/>
  <c r="B54" i="29"/>
  <c r="D41" i="29"/>
  <c r="C40" i="29"/>
  <c r="B39" i="29"/>
  <c r="A40" i="29"/>
  <c r="D37" i="29"/>
  <c r="F22" i="29"/>
  <c r="D6" i="28"/>
  <c r="B60" i="28"/>
  <c r="C4" i="28"/>
  <c r="D54" i="28"/>
  <c r="D4" i="28"/>
  <c r="D58" i="28"/>
  <c r="C62" i="28"/>
  <c r="B41" i="28"/>
  <c r="D57" i="28"/>
  <c r="D25" i="28"/>
  <c r="C6" i="28"/>
  <c r="C61" i="28"/>
  <c r="D20" i="28"/>
  <c r="A54" i="28"/>
  <c r="A53" i="20"/>
  <c r="G22" i="20"/>
  <c r="H22" i="20"/>
  <c r="F22" i="20"/>
  <c r="D20" i="16"/>
  <c r="B53" i="16"/>
  <c r="D53" i="16"/>
  <c r="C62" i="16"/>
  <c r="A54" i="16"/>
  <c r="C20" i="16"/>
  <c r="C54" i="16"/>
  <c r="B54" i="16"/>
  <c r="G22" i="16"/>
  <c r="D7" i="16"/>
  <c r="F22" i="16"/>
  <c r="B22" i="16" s="1"/>
  <c r="C23" i="37"/>
  <c r="D37" i="37"/>
  <c r="D41" i="37"/>
  <c r="A52" i="37"/>
  <c r="B38" i="37"/>
  <c r="D38" i="37"/>
  <c r="B52" i="37"/>
  <c r="B53" i="37"/>
  <c r="D58" i="37"/>
  <c r="A23" i="37"/>
  <c r="F22" i="37"/>
  <c r="A41" i="37"/>
  <c r="B39" i="37"/>
  <c r="C41" i="37"/>
  <c r="D52" i="37"/>
  <c r="C37" i="37"/>
  <c r="A58" i="37"/>
  <c r="C63" i="37"/>
  <c r="C59" i="37"/>
  <c r="D63" i="37"/>
  <c r="D39" i="37"/>
  <c r="A63" i="37"/>
  <c r="C20" i="37"/>
  <c r="D62" i="21"/>
  <c r="B7" i="21"/>
  <c r="D40" i="21"/>
  <c r="A40" i="21"/>
  <c r="A25" i="21"/>
  <c r="B25" i="21"/>
  <c r="C25" i="21"/>
  <c r="D25" i="21"/>
  <c r="D21" i="21"/>
  <c r="B24" i="21"/>
  <c r="C24" i="21"/>
  <c r="A24" i="21"/>
  <c r="D24" i="21"/>
  <c r="B53" i="21"/>
  <c r="C21" i="21"/>
  <c r="C62" i="21"/>
  <c r="D20" i="21"/>
  <c r="A20" i="21"/>
  <c r="C20" i="21"/>
  <c r="B20" i="21"/>
  <c r="B38" i="21"/>
  <c r="D5" i="21"/>
  <c r="D19" i="21"/>
  <c r="B21" i="21"/>
  <c r="C60" i="21"/>
  <c r="F22" i="21"/>
  <c r="C38" i="21"/>
  <c r="C40" i="21"/>
  <c r="A23" i="21"/>
  <c r="B23" i="21"/>
  <c r="D23" i="21"/>
  <c r="C23" i="21"/>
  <c r="A62" i="21"/>
  <c r="C19" i="21"/>
  <c r="C7" i="21"/>
  <c r="C52" i="21"/>
  <c r="A57" i="7"/>
  <c r="B57" i="7"/>
  <c r="B19" i="7"/>
  <c r="A19" i="7"/>
  <c r="B62" i="7"/>
  <c r="A62" i="7"/>
  <c r="A25" i="7"/>
  <c r="B25" i="7"/>
  <c r="B58" i="7"/>
  <c r="A58" i="7"/>
  <c r="B52" i="7"/>
  <c r="A52" i="7"/>
  <c r="A39" i="7"/>
  <c r="D21" i="7"/>
  <c r="A41" i="7"/>
  <c r="B41" i="7"/>
  <c r="A21" i="7"/>
  <c r="B56" i="7"/>
  <c r="D24" i="7"/>
  <c r="B23" i="7"/>
  <c r="A23" i="7"/>
  <c r="B63" i="7"/>
  <c r="A54" i="7"/>
  <c r="B54" i="7"/>
  <c r="A37" i="7"/>
  <c r="B37" i="7"/>
  <c r="F22" i="7"/>
  <c r="B20" i="7"/>
  <c r="B6" i="7"/>
  <c r="A59" i="7"/>
  <c r="B59" i="7"/>
  <c r="A24" i="7"/>
  <c r="B24" i="7"/>
  <c r="A5" i="7"/>
  <c r="B5" i="7"/>
  <c r="G22" i="7"/>
  <c r="B40" i="7"/>
  <c r="A40" i="7"/>
  <c r="D7" i="7"/>
  <c r="B38" i="7"/>
  <c r="A53" i="7"/>
  <c r="B53" i="7"/>
  <c r="D60" i="7"/>
  <c r="B4" i="7"/>
  <c r="A4" i="7"/>
  <c r="C25" i="7"/>
  <c r="B55" i="7"/>
  <c r="A55" i="7"/>
  <c r="A58" i="54"/>
  <c r="A25" i="54"/>
  <c r="B25" i="54"/>
  <c r="B41" i="54"/>
  <c r="A41" i="54"/>
  <c r="B24" i="54"/>
  <c r="A24" i="54"/>
  <c r="D60" i="54"/>
  <c r="B39" i="54"/>
  <c r="A39" i="54"/>
  <c r="B21" i="54"/>
  <c r="A21" i="54"/>
  <c r="B60" i="54"/>
  <c r="A62" i="54"/>
  <c r="B62" i="54"/>
  <c r="C7" i="54"/>
  <c r="H22" i="54"/>
  <c r="B37" i="54"/>
  <c r="A37" i="54"/>
  <c r="D59" i="54"/>
  <c r="A7" i="54"/>
  <c r="B63" i="54"/>
  <c r="A63" i="54"/>
  <c r="C25" i="54"/>
  <c r="C6" i="54"/>
  <c r="D4" i="54"/>
  <c r="A4" i="54"/>
  <c r="D6" i="54"/>
  <c r="B5" i="54"/>
  <c r="A5" i="54"/>
  <c r="D38" i="54"/>
  <c r="A6" i="54"/>
  <c r="B59" i="54"/>
  <c r="A59" i="54"/>
  <c r="D25" i="54"/>
  <c r="C20" i="54"/>
  <c r="C58" i="54"/>
  <c r="I22" i="54"/>
  <c r="B52" i="54"/>
  <c r="A52" i="54"/>
  <c r="F22" i="54"/>
  <c r="B20" i="54"/>
  <c r="A20" i="54"/>
  <c r="A38" i="54"/>
  <c r="B53" i="54"/>
  <c r="A53" i="54"/>
  <c r="B23" i="54"/>
  <c r="A23" i="54"/>
  <c r="B38" i="54"/>
  <c r="B19" i="55"/>
  <c r="A19" i="55"/>
  <c r="B5" i="55"/>
  <c r="A5" i="55"/>
  <c r="J22" i="55"/>
  <c r="C58" i="55"/>
  <c r="C19" i="55"/>
  <c r="A53" i="55"/>
  <c r="B58" i="55"/>
  <c r="A58" i="55"/>
  <c r="A40" i="55"/>
  <c r="C59" i="55"/>
  <c r="D38" i="55"/>
  <c r="C61" i="55"/>
  <c r="D20" i="55"/>
  <c r="B40" i="55"/>
  <c r="B23" i="55"/>
  <c r="A23" i="55"/>
  <c r="C24" i="55"/>
  <c r="B52" i="55"/>
  <c r="A52" i="55"/>
  <c r="D37" i="55"/>
  <c r="D40" i="55"/>
  <c r="B38" i="55"/>
  <c r="A38" i="55"/>
  <c r="F22" i="55"/>
  <c r="B20" i="55"/>
  <c r="A20" i="55"/>
  <c r="B24" i="55"/>
  <c r="A24" i="55"/>
  <c r="B63" i="55"/>
  <c r="A63" i="55"/>
  <c r="B4" i="55"/>
  <c r="A4" i="55"/>
  <c r="A61" i="55"/>
  <c r="B25" i="55"/>
  <c r="A25" i="55"/>
  <c r="D5" i="55"/>
  <c r="C60" i="55"/>
  <c r="B60" i="55"/>
  <c r="A60" i="55"/>
  <c r="A6" i="55"/>
  <c r="D59" i="55"/>
  <c r="D60" i="55"/>
  <c r="A39" i="55"/>
  <c r="A62" i="55"/>
  <c r="B6" i="55"/>
  <c r="K22" i="55"/>
  <c r="A59" i="55"/>
  <c r="D39" i="55"/>
  <c r="B62" i="55"/>
  <c r="B21" i="55"/>
  <c r="A21" i="55"/>
  <c r="B59" i="55"/>
  <c r="B25" i="56"/>
  <c r="A25" i="56"/>
  <c r="B24" i="56"/>
  <c r="A24" i="56"/>
  <c r="C60" i="56"/>
  <c r="B20" i="56"/>
  <c r="A5" i="56"/>
  <c r="A63" i="56"/>
  <c r="A60" i="56"/>
  <c r="A53" i="56"/>
  <c r="B53" i="56"/>
  <c r="D61" i="56"/>
  <c r="B58" i="56"/>
  <c r="A58" i="56"/>
  <c r="B22" i="56"/>
  <c r="A22" i="56"/>
  <c r="B63" i="56"/>
  <c r="B60" i="56"/>
  <c r="B61" i="56"/>
  <c r="A19" i="56"/>
  <c r="B19" i="56"/>
  <c r="A61" i="56"/>
  <c r="B6" i="56"/>
  <c r="A6" i="56"/>
  <c r="C20" i="56"/>
  <c r="A59" i="56"/>
  <c r="B59" i="56"/>
  <c r="A38" i="56"/>
  <c r="A39" i="56"/>
  <c r="D20" i="56"/>
  <c r="D25" i="56"/>
  <c r="C24" i="56"/>
  <c r="A4" i="56"/>
  <c r="A37" i="56"/>
  <c r="D24" i="56"/>
  <c r="B7" i="56"/>
  <c r="A7" i="56"/>
  <c r="B23" i="56"/>
  <c r="A23" i="56"/>
  <c r="B4" i="56"/>
  <c r="D37" i="57"/>
  <c r="A63" i="57"/>
  <c r="B58" i="57"/>
  <c r="B63" i="57"/>
  <c r="B60" i="57"/>
  <c r="A60" i="57"/>
  <c r="A41" i="57"/>
  <c r="A58" i="57"/>
  <c r="A37" i="57"/>
  <c r="B41" i="57"/>
  <c r="B53" i="57"/>
  <c r="A53" i="57"/>
  <c r="A61" i="57"/>
  <c r="B37" i="57"/>
  <c r="A52" i="57"/>
  <c r="B52" i="57"/>
  <c r="H22" i="57"/>
  <c r="C58" i="57"/>
  <c r="A62" i="57"/>
  <c r="A4" i="57"/>
  <c r="B39" i="57"/>
  <c r="A39" i="57"/>
  <c r="C62" i="57"/>
  <c r="B62" i="57"/>
  <c r="B4" i="57"/>
  <c r="G22" i="57"/>
  <c r="A5" i="57"/>
  <c r="F22" i="57"/>
  <c r="B59" i="57"/>
  <c r="A59" i="57"/>
  <c r="A7" i="57"/>
  <c r="B5" i="57"/>
  <c r="D5" i="57"/>
  <c r="A38" i="57"/>
  <c r="B40" i="57"/>
  <c r="A40" i="57"/>
  <c r="B38" i="57"/>
  <c r="A6" i="57"/>
  <c r="B7" i="48"/>
  <c r="A7" i="48"/>
  <c r="D63" i="48"/>
  <c r="C24" i="48"/>
  <c r="A23" i="48"/>
  <c r="B23" i="48"/>
  <c r="A25" i="48"/>
  <c r="B25" i="48"/>
  <c r="A24" i="48"/>
  <c r="B24" i="48"/>
  <c r="G22" i="48"/>
  <c r="B20" i="48"/>
  <c r="C20" i="48"/>
  <c r="A20" i="48"/>
  <c r="D37" i="48"/>
  <c r="D52" i="48"/>
  <c r="A63" i="48"/>
  <c r="A37" i="48"/>
  <c r="A58" i="48"/>
  <c r="B52" i="48"/>
  <c r="B63" i="48"/>
  <c r="B39" i="48"/>
  <c r="B37" i="48"/>
  <c r="A5" i="48"/>
  <c r="B4" i="48"/>
  <c r="A4" i="48"/>
  <c r="A52" i="48"/>
  <c r="K22" i="48"/>
  <c r="A39" i="48"/>
  <c r="B38" i="48"/>
  <c r="A38" i="48"/>
  <c r="A21" i="48"/>
  <c r="B60" i="48"/>
  <c r="A60" i="48"/>
  <c r="B19" i="48"/>
  <c r="A6" i="48"/>
  <c r="B6" i="48"/>
  <c r="A62" i="48"/>
  <c r="A40" i="48"/>
  <c r="B41" i="48"/>
  <c r="A41" i="48"/>
  <c r="B53" i="48"/>
  <c r="A53" i="48"/>
  <c r="J22" i="48"/>
  <c r="I22" i="48"/>
  <c r="C20" i="58"/>
  <c r="D20" i="58"/>
  <c r="B20" i="58"/>
  <c r="A20" i="58"/>
  <c r="K22" i="58"/>
  <c r="B63" i="58"/>
  <c r="A63" i="58"/>
  <c r="D63" i="58"/>
  <c r="C63" i="58"/>
  <c r="D53" i="58"/>
  <c r="B53" i="58"/>
  <c r="C53" i="58"/>
  <c r="A53" i="58"/>
  <c r="D60" i="58"/>
  <c r="C60" i="58"/>
  <c r="B60" i="58"/>
  <c r="A60" i="58"/>
  <c r="D58" i="58"/>
  <c r="A58" i="58"/>
  <c r="C58" i="58"/>
  <c r="B58" i="58"/>
  <c r="D37" i="58"/>
  <c r="B37" i="58"/>
  <c r="A37" i="58"/>
  <c r="C37" i="58"/>
  <c r="B4" i="58"/>
  <c r="C4" i="58"/>
  <c r="A4" i="58"/>
  <c r="D4" i="58"/>
  <c r="D21" i="58"/>
  <c r="C21" i="58"/>
  <c r="B21" i="58"/>
  <c r="A21" i="58"/>
  <c r="I22" i="58"/>
  <c r="D52" i="58"/>
  <c r="C52" i="58"/>
  <c r="B52" i="58"/>
  <c r="A52" i="58"/>
  <c r="D19" i="58"/>
  <c r="C19" i="58"/>
  <c r="B19" i="58"/>
  <c r="A19" i="58"/>
  <c r="F22" i="58"/>
  <c r="B7" i="58"/>
  <c r="A7" i="58"/>
  <c r="C7" i="58"/>
  <c r="D7" i="58"/>
  <c r="C5" i="58"/>
  <c r="D5" i="58"/>
  <c r="B5" i="58"/>
  <c r="A5" i="58"/>
  <c r="B62" i="58"/>
  <c r="D24" i="58"/>
  <c r="B24" i="58"/>
  <c r="A24" i="58"/>
  <c r="C24" i="58"/>
  <c r="D59" i="58"/>
  <c r="C59" i="58"/>
  <c r="B59" i="58"/>
  <c r="A59" i="58"/>
  <c r="D38" i="58"/>
  <c r="B38" i="58"/>
  <c r="A38" i="58"/>
  <c r="C38" i="58"/>
  <c r="C62" i="58"/>
  <c r="B23" i="58"/>
  <c r="A23" i="58"/>
  <c r="D23" i="58"/>
  <c r="C23" i="58"/>
  <c r="C6" i="58"/>
  <c r="B6" i="58"/>
  <c r="A6" i="58"/>
  <c r="D6" i="58"/>
  <c r="C40" i="58"/>
  <c r="B40" i="58"/>
  <c r="A40" i="58"/>
  <c r="D40" i="58"/>
  <c r="D25" i="58"/>
  <c r="C25" i="58"/>
  <c r="A25" i="58"/>
  <c r="B25" i="58"/>
  <c r="B59" i="53"/>
  <c r="A59" i="53"/>
  <c r="A24" i="53"/>
  <c r="A53" i="53"/>
  <c r="B53" i="53"/>
  <c r="C5" i="53"/>
  <c r="B4" i="53"/>
  <c r="A4" i="53"/>
  <c r="B23" i="53"/>
  <c r="A23" i="53"/>
  <c r="D7" i="53"/>
  <c r="B61" i="53"/>
  <c r="A61" i="53"/>
  <c r="B21" i="53"/>
  <c r="A21" i="53"/>
  <c r="D58" i="53"/>
  <c r="B37" i="53"/>
  <c r="A37" i="53"/>
  <c r="B6" i="53"/>
  <c r="A6" i="53"/>
  <c r="A5" i="53"/>
  <c r="B5" i="53"/>
  <c r="A38" i="53"/>
  <c r="A19" i="53"/>
  <c r="B19" i="53"/>
  <c r="D63" i="53"/>
  <c r="D39" i="53"/>
  <c r="B38" i="53"/>
  <c r="B39" i="53"/>
  <c r="B40" i="53"/>
  <c r="A40" i="53"/>
  <c r="A60" i="53"/>
  <c r="A39" i="53"/>
  <c r="C62" i="53"/>
  <c r="D62" i="53"/>
  <c r="B58" i="53"/>
  <c r="B60" i="53"/>
  <c r="A62" i="53"/>
  <c r="A63" i="53"/>
  <c r="A58" i="53"/>
  <c r="B4" i="52"/>
  <c r="A4" i="52"/>
  <c r="A25" i="52"/>
  <c r="B25" i="52"/>
  <c r="B23" i="52"/>
  <c r="A23" i="52"/>
  <c r="D58" i="52"/>
  <c r="C52" i="52"/>
  <c r="A7" i="52"/>
  <c r="B52" i="52"/>
  <c r="B21" i="52"/>
  <c r="A21" i="52"/>
  <c r="C40" i="52"/>
  <c r="A37" i="52"/>
  <c r="B37" i="52"/>
  <c r="C61" i="52"/>
  <c r="B62" i="52"/>
  <c r="A62" i="52"/>
  <c r="D52" i="52"/>
  <c r="D61" i="52"/>
  <c r="B40" i="52"/>
  <c r="A40" i="52"/>
  <c r="B53" i="52"/>
  <c r="A53" i="52"/>
  <c r="D6" i="52"/>
  <c r="B59" i="52"/>
  <c r="A59" i="52"/>
  <c r="A6" i="52"/>
  <c r="B41" i="52"/>
  <c r="A41" i="52"/>
  <c r="B39" i="52"/>
  <c r="A39" i="52"/>
  <c r="B6" i="52"/>
  <c r="A58" i="52"/>
  <c r="B58" i="52"/>
  <c r="B5" i="52"/>
  <c r="A5" i="52"/>
  <c r="B60" i="52"/>
  <c r="A60" i="52"/>
  <c r="D7" i="52"/>
  <c r="A61" i="52"/>
  <c r="A24" i="52"/>
  <c r="B63" i="52"/>
  <c r="A63" i="52"/>
  <c r="C4" i="52"/>
  <c r="B24" i="52"/>
  <c r="B4" i="51"/>
  <c r="A4" i="51"/>
  <c r="D52" i="51"/>
  <c r="B59" i="51"/>
  <c r="A59" i="51"/>
  <c r="B62" i="51"/>
  <c r="A62" i="51"/>
  <c r="B38" i="51"/>
  <c r="A38" i="51"/>
  <c r="B6" i="51"/>
  <c r="A6" i="51"/>
  <c r="D59" i="51"/>
  <c r="B39" i="51"/>
  <c r="A7" i="51"/>
  <c r="C59" i="51"/>
  <c r="C39" i="51"/>
  <c r="B52" i="51"/>
  <c r="A61" i="51"/>
  <c r="B5" i="51"/>
  <c r="A5" i="51"/>
  <c r="B63" i="51"/>
  <c r="A63" i="51"/>
  <c r="C58" i="51"/>
  <c r="D60" i="51"/>
  <c r="D39" i="51"/>
  <c r="B40" i="51"/>
  <c r="A52" i="51"/>
  <c r="B53" i="51"/>
  <c r="A53" i="51"/>
  <c r="B58" i="51"/>
  <c r="D7" i="51"/>
  <c r="C40" i="51"/>
  <c r="A58" i="51"/>
  <c r="B63" i="50"/>
  <c r="A63" i="50"/>
  <c r="A39" i="50"/>
  <c r="A58" i="50"/>
  <c r="B58" i="50"/>
  <c r="B21" i="50"/>
  <c r="A21" i="50"/>
  <c r="A52" i="50"/>
  <c r="B52" i="50"/>
  <c r="B19" i="50"/>
  <c r="A19" i="50"/>
  <c r="D6" i="50"/>
  <c r="B5" i="50"/>
  <c r="A5" i="50"/>
  <c r="A25" i="50"/>
  <c r="B25" i="50"/>
  <c r="B61" i="50"/>
  <c r="A61" i="50"/>
  <c r="B7" i="50"/>
  <c r="A7" i="50"/>
  <c r="B59" i="50"/>
  <c r="A59" i="50"/>
  <c r="B23" i="50"/>
  <c r="A23" i="50"/>
  <c r="D60" i="50"/>
  <c r="C60" i="50"/>
  <c r="B38" i="50"/>
  <c r="A38" i="50"/>
  <c r="A6" i="50"/>
  <c r="A60" i="50"/>
  <c r="B6" i="50"/>
  <c r="B60" i="50"/>
  <c r="B53" i="50"/>
  <c r="A53" i="50"/>
  <c r="A37" i="50"/>
  <c r="A24" i="50"/>
  <c r="D58" i="50"/>
  <c r="A4" i="50"/>
  <c r="B4" i="50"/>
  <c r="B37" i="50"/>
  <c r="B24" i="50"/>
  <c r="D4" i="49"/>
  <c r="D39" i="49"/>
  <c r="A25" i="49"/>
  <c r="B25" i="49"/>
  <c r="A19" i="49"/>
  <c r="B19" i="49"/>
  <c r="B24" i="49"/>
  <c r="A24" i="49"/>
  <c r="A38" i="49"/>
  <c r="C39" i="49"/>
  <c r="B38" i="49"/>
  <c r="A5" i="49"/>
  <c r="B52" i="49"/>
  <c r="A52" i="49"/>
  <c r="B21" i="49"/>
  <c r="A21" i="49"/>
  <c r="B5" i="49"/>
  <c r="A37" i="49"/>
  <c r="B59" i="49"/>
  <c r="A59" i="49"/>
  <c r="B7" i="49"/>
  <c r="A7" i="49"/>
  <c r="A62" i="49"/>
  <c r="B37" i="49"/>
  <c r="B23" i="49"/>
  <c r="A23" i="49"/>
  <c r="A4" i="49"/>
  <c r="B53" i="49"/>
  <c r="A53" i="49"/>
  <c r="A40" i="49"/>
  <c r="C40" i="49"/>
  <c r="C58" i="49"/>
  <c r="D6" i="49"/>
  <c r="B6" i="49"/>
  <c r="A63" i="49"/>
  <c r="C23" i="49"/>
  <c r="A61" i="49"/>
  <c r="B58" i="49"/>
  <c r="A55" i="42"/>
  <c r="B41" i="42"/>
  <c r="A41" i="42"/>
  <c r="D20" i="42"/>
  <c r="C38" i="42"/>
  <c r="D21" i="42"/>
  <c r="C53" i="42"/>
  <c r="B55" i="42"/>
  <c r="B39" i="42"/>
  <c r="A39" i="42"/>
  <c r="A21" i="42"/>
  <c r="B21" i="42"/>
  <c r="B25" i="42"/>
  <c r="A25" i="42"/>
  <c r="C4" i="42"/>
  <c r="B20" i="42"/>
  <c r="B6" i="42"/>
  <c r="A6" i="42"/>
  <c r="D61" i="42"/>
  <c r="D25" i="42"/>
  <c r="C55" i="42"/>
  <c r="B7" i="42"/>
  <c r="A7" i="42"/>
  <c r="A23" i="42"/>
  <c r="B37" i="42"/>
  <c r="A37" i="42"/>
  <c r="B62" i="42"/>
  <c r="A62" i="42"/>
  <c r="A54" i="42"/>
  <c r="B54" i="42"/>
  <c r="A4" i="42"/>
  <c r="B4" i="42"/>
  <c r="B23" i="42"/>
  <c r="B5" i="42"/>
  <c r="A5" i="42"/>
  <c r="D60" i="42"/>
  <c r="B59" i="42"/>
  <c r="A59" i="42"/>
  <c r="B24" i="42"/>
  <c r="A24" i="42"/>
  <c r="B52" i="42"/>
  <c r="A52" i="42"/>
  <c r="B60" i="42"/>
  <c r="A61" i="42"/>
  <c r="C23" i="42"/>
  <c r="C63" i="42"/>
  <c r="B58" i="42"/>
  <c r="A58" i="42"/>
  <c r="B19" i="42"/>
  <c r="A19" i="42"/>
  <c r="B40" i="42"/>
  <c r="A40" i="42"/>
  <c r="A53" i="42"/>
  <c r="A63" i="42"/>
  <c r="B41" i="46"/>
  <c r="A41" i="46"/>
  <c r="A20" i="46"/>
  <c r="B20" i="46"/>
  <c r="B40" i="46"/>
  <c r="A40" i="46"/>
  <c r="A37" i="46"/>
  <c r="B37" i="46"/>
  <c r="B19" i="46"/>
  <c r="A19" i="46"/>
  <c r="B58" i="46"/>
  <c r="A21" i="46"/>
  <c r="B21" i="46"/>
  <c r="B53" i="46"/>
  <c r="B39" i="46"/>
  <c r="A39" i="46"/>
  <c r="D54" i="46"/>
  <c r="A25" i="46"/>
  <c r="B25" i="46"/>
  <c r="A53" i="46"/>
  <c r="B6" i="46"/>
  <c r="A6" i="46"/>
  <c r="D52" i="46"/>
  <c r="C53" i="46"/>
  <c r="A55" i="46"/>
  <c r="B7" i="46"/>
  <c r="A7" i="46"/>
  <c r="B23" i="46"/>
  <c r="A23" i="46"/>
  <c r="C41" i="46"/>
  <c r="B62" i="46"/>
  <c r="A62" i="46"/>
  <c r="D59" i="46"/>
  <c r="D41" i="46"/>
  <c r="A59" i="46"/>
  <c r="B59" i="46"/>
  <c r="B5" i="46"/>
  <c r="A5" i="46"/>
  <c r="B54" i="46"/>
  <c r="A63" i="46"/>
  <c r="B24" i="46"/>
  <c r="A24" i="46"/>
  <c r="B4" i="46"/>
  <c r="A4" i="46"/>
  <c r="A54" i="46"/>
  <c r="B63" i="46"/>
  <c r="A19" i="45"/>
  <c r="A55" i="45"/>
  <c r="B39" i="45"/>
  <c r="A39" i="45"/>
  <c r="B63" i="45"/>
  <c r="B55" i="45"/>
  <c r="B40" i="45"/>
  <c r="A40" i="45"/>
  <c r="B52" i="45"/>
  <c r="A63" i="45"/>
  <c r="B4" i="45"/>
  <c r="A4" i="45"/>
  <c r="B59" i="45"/>
  <c r="A59" i="45"/>
  <c r="A58" i="45"/>
  <c r="B54" i="45"/>
  <c r="A54" i="45"/>
  <c r="B62" i="45"/>
  <c r="A62" i="45"/>
  <c r="A38" i="45"/>
  <c r="A23" i="45"/>
  <c r="B38" i="45"/>
  <c r="B23" i="45"/>
  <c r="B53" i="45"/>
  <c r="A7" i="45"/>
  <c r="D23" i="45"/>
  <c r="B24" i="45"/>
  <c r="A24" i="45"/>
  <c r="D19" i="45"/>
  <c r="B6" i="45"/>
  <c r="A6" i="45"/>
  <c r="C58" i="45"/>
  <c r="A21" i="45"/>
  <c r="A5" i="45"/>
  <c r="B19" i="45"/>
  <c r="A37" i="45"/>
  <c r="B37" i="45"/>
  <c r="C4" i="45"/>
  <c r="D4" i="45"/>
  <c r="D52" i="41"/>
  <c r="B37" i="41"/>
  <c r="A19" i="41"/>
  <c r="B5" i="41"/>
  <c r="A5" i="41"/>
  <c r="B40" i="41"/>
  <c r="A40" i="41"/>
  <c r="B6" i="41"/>
  <c r="A6" i="41"/>
  <c r="B39" i="41"/>
  <c r="A39" i="41"/>
  <c r="B25" i="41"/>
  <c r="B4" i="41"/>
  <c r="A4" i="41"/>
  <c r="B24" i="41"/>
  <c r="A24" i="41"/>
  <c r="D21" i="41"/>
  <c r="A21" i="41"/>
  <c r="A25" i="41"/>
  <c r="B62" i="41"/>
  <c r="A62" i="41"/>
  <c r="B22" i="41"/>
  <c r="A22" i="41"/>
  <c r="B21" i="41"/>
  <c r="B59" i="41"/>
  <c r="A59" i="41"/>
  <c r="B54" i="41"/>
  <c r="A54" i="41"/>
  <c r="A60" i="41"/>
  <c r="C58" i="41"/>
  <c r="B52" i="41"/>
  <c r="A52" i="41"/>
  <c r="A53" i="41"/>
  <c r="A58" i="41"/>
  <c r="B58" i="41"/>
  <c r="B53" i="41"/>
  <c r="B63" i="41"/>
  <c r="A63" i="41"/>
  <c r="C39" i="40"/>
  <c r="D5" i="40"/>
  <c r="B52" i="40"/>
  <c r="A52" i="40"/>
  <c r="A53" i="40"/>
  <c r="B40" i="40"/>
  <c r="A40" i="40"/>
  <c r="B24" i="40"/>
  <c r="A24" i="40"/>
  <c r="A25" i="40"/>
  <c r="B25" i="40"/>
  <c r="D38" i="40"/>
  <c r="B21" i="40"/>
  <c r="A21" i="40"/>
  <c r="C23" i="40"/>
  <c r="D40" i="40"/>
  <c r="A39" i="40"/>
  <c r="C38" i="40"/>
  <c r="B19" i="40"/>
  <c r="A19" i="40"/>
  <c r="B58" i="40"/>
  <c r="A58" i="40"/>
  <c r="B63" i="40"/>
  <c r="A63" i="40"/>
  <c r="A61" i="40"/>
  <c r="B4" i="40"/>
  <c r="A4" i="40"/>
  <c r="D52" i="40"/>
  <c r="C40" i="40"/>
  <c r="A38" i="40"/>
  <c r="A37" i="40"/>
  <c r="B37" i="40"/>
  <c r="B59" i="40"/>
  <c r="A59" i="40"/>
  <c r="A55" i="40"/>
  <c r="A60" i="40"/>
  <c r="B6" i="40"/>
  <c r="A6" i="40"/>
  <c r="D54" i="40"/>
  <c r="B55" i="40"/>
  <c r="A23" i="40"/>
  <c r="C60" i="40"/>
  <c r="B62" i="40"/>
  <c r="A62" i="40"/>
  <c r="A5" i="40"/>
  <c r="A20" i="40"/>
  <c r="B20" i="40"/>
  <c r="B54" i="40"/>
  <c r="A54" i="40"/>
  <c r="A58" i="39"/>
  <c r="B58" i="39"/>
  <c r="C20" i="39"/>
  <c r="B63" i="39"/>
  <c r="A63" i="39"/>
  <c r="B55" i="39"/>
  <c r="B6" i="39"/>
  <c r="A6" i="39"/>
  <c r="C39" i="39"/>
  <c r="C55" i="39"/>
  <c r="C23" i="39"/>
  <c r="A52" i="39"/>
  <c r="B52" i="39"/>
  <c r="B7" i="39"/>
  <c r="A7" i="39"/>
  <c r="C52" i="39"/>
  <c r="B62" i="39"/>
  <c r="A62" i="39"/>
  <c r="B5" i="39"/>
  <c r="A5" i="39"/>
  <c r="B24" i="39"/>
  <c r="A24" i="39"/>
  <c r="A39" i="39"/>
  <c r="B20" i="39"/>
  <c r="A20" i="39"/>
  <c r="B59" i="39"/>
  <c r="A59" i="39"/>
  <c r="B40" i="39"/>
  <c r="A40" i="39"/>
  <c r="C60" i="39"/>
  <c r="A25" i="39"/>
  <c r="B25" i="39"/>
  <c r="B37" i="39"/>
  <c r="A37" i="39"/>
  <c r="C54" i="39"/>
  <c r="B21" i="39"/>
  <c r="A21" i="39"/>
  <c r="A60" i="39"/>
  <c r="B4" i="39"/>
  <c r="A4" i="39"/>
  <c r="A19" i="39"/>
  <c r="B19" i="39"/>
  <c r="B54" i="39"/>
  <c r="A54" i="39"/>
  <c r="B24" i="38"/>
  <c r="A24" i="38"/>
  <c r="D53" i="38"/>
  <c r="D39" i="38"/>
  <c r="B61" i="38"/>
  <c r="A61" i="38"/>
  <c r="B20" i="38"/>
  <c r="A20" i="38"/>
  <c r="A59" i="38"/>
  <c r="A23" i="38"/>
  <c r="B23" i="38"/>
  <c r="B62" i="38"/>
  <c r="A62" i="38"/>
  <c r="A25" i="38"/>
  <c r="B25" i="38"/>
  <c r="D5" i="38"/>
  <c r="B54" i="38"/>
  <c r="A54" i="38"/>
  <c r="B21" i="38"/>
  <c r="A21" i="38"/>
  <c r="C23" i="38"/>
  <c r="B41" i="38"/>
  <c r="A41" i="38"/>
  <c r="B37" i="38"/>
  <c r="A37" i="38"/>
  <c r="B52" i="38"/>
  <c r="A52" i="38"/>
  <c r="D59" i="38"/>
  <c r="B19" i="38"/>
  <c r="A19" i="38"/>
  <c r="A53" i="38"/>
  <c r="B39" i="38"/>
  <c r="A39" i="38"/>
  <c r="B58" i="38"/>
  <c r="A58" i="38"/>
  <c r="B6" i="38"/>
  <c r="A6" i="38"/>
  <c r="C20" i="38"/>
  <c r="B53" i="38"/>
  <c r="A57" i="38"/>
  <c r="A7" i="38"/>
  <c r="B40" i="38"/>
  <c r="A40" i="38"/>
  <c r="B4" i="38"/>
  <c r="A4" i="38"/>
  <c r="D20" i="38"/>
  <c r="B57" i="38"/>
  <c r="B7" i="38"/>
  <c r="B60" i="38"/>
  <c r="A60" i="38"/>
  <c r="A5" i="38"/>
  <c r="C5" i="36"/>
  <c r="B5" i="36"/>
  <c r="A5" i="36"/>
  <c r="D5" i="36"/>
  <c r="D61" i="36"/>
  <c r="B23" i="36"/>
  <c r="D59" i="36"/>
  <c r="C59" i="36"/>
  <c r="B59" i="36"/>
  <c r="A59" i="36"/>
  <c r="B61" i="36"/>
  <c r="B58" i="36"/>
  <c r="A58" i="36"/>
  <c r="D58" i="36"/>
  <c r="C58" i="36"/>
  <c r="D40" i="36"/>
  <c r="C40" i="36"/>
  <c r="B40" i="36"/>
  <c r="A40" i="36"/>
  <c r="A39" i="36"/>
  <c r="D38" i="36"/>
  <c r="C38" i="36"/>
  <c r="B38" i="36"/>
  <c r="A38" i="36"/>
  <c r="D60" i="36"/>
  <c r="C60" i="36"/>
  <c r="B60" i="36"/>
  <c r="A60" i="36"/>
  <c r="C53" i="36"/>
  <c r="A52" i="36"/>
  <c r="D52" i="36"/>
  <c r="C52" i="36"/>
  <c r="B52" i="36"/>
  <c r="A37" i="36"/>
  <c r="D4" i="36"/>
  <c r="C4" i="36"/>
  <c r="B4" i="36"/>
  <c r="A4" i="36"/>
  <c r="D63" i="36"/>
  <c r="C63" i="36"/>
  <c r="B63" i="36"/>
  <c r="A63" i="36"/>
  <c r="B37" i="36"/>
  <c r="A7" i="36"/>
  <c r="B7" i="36"/>
  <c r="D21" i="36"/>
  <c r="C21" i="36"/>
  <c r="A21" i="36"/>
  <c r="C7" i="36"/>
  <c r="D6" i="36"/>
  <c r="C6" i="36"/>
  <c r="B6" i="36"/>
  <c r="A6" i="36"/>
  <c r="A23" i="36"/>
  <c r="B21" i="36"/>
  <c r="C20" i="36"/>
  <c r="D62" i="36"/>
  <c r="A19" i="36"/>
  <c r="D40" i="26"/>
  <c r="B21" i="26"/>
  <c r="A21" i="26"/>
  <c r="A55" i="26"/>
  <c r="C38" i="26"/>
  <c r="B19" i="26"/>
  <c r="A19" i="26"/>
  <c r="B55" i="26"/>
  <c r="B4" i="26"/>
  <c r="A4" i="26"/>
  <c r="C52" i="26"/>
  <c r="D60" i="26"/>
  <c r="B6" i="26"/>
  <c r="A6" i="26"/>
  <c r="A60" i="26"/>
  <c r="B24" i="26"/>
  <c r="A24" i="26"/>
  <c r="B62" i="26"/>
  <c r="A62" i="26"/>
  <c r="B60" i="26"/>
  <c r="B25" i="26"/>
  <c r="A25" i="26"/>
  <c r="B54" i="26"/>
  <c r="A54" i="26"/>
  <c r="B20" i="26"/>
  <c r="A20" i="26"/>
  <c r="B38" i="26"/>
  <c r="A38" i="26"/>
  <c r="A53" i="26"/>
  <c r="B41" i="26"/>
  <c r="A41" i="26"/>
  <c r="A61" i="26"/>
  <c r="B53" i="26"/>
  <c r="B40" i="26"/>
  <c r="A40" i="26"/>
  <c r="A7" i="26"/>
  <c r="C7" i="26"/>
  <c r="D4" i="26"/>
  <c r="B39" i="26"/>
  <c r="A39" i="26"/>
  <c r="B37" i="26"/>
  <c r="B7" i="26"/>
  <c r="C5" i="26"/>
  <c r="A5" i="26"/>
  <c r="D5" i="26"/>
  <c r="B52" i="26"/>
  <c r="A52" i="26"/>
  <c r="A52" i="32"/>
  <c r="B52" i="32"/>
  <c r="B39" i="32"/>
  <c r="A39" i="32"/>
  <c r="C54" i="32"/>
  <c r="D37" i="32"/>
  <c r="D55" i="32"/>
  <c r="B7" i="32"/>
  <c r="A7" i="32"/>
  <c r="B55" i="32"/>
  <c r="B61" i="32"/>
  <c r="A61" i="32"/>
  <c r="A41" i="32"/>
  <c r="A54" i="32"/>
  <c r="B5" i="32"/>
  <c r="A5" i="32"/>
  <c r="B41" i="32"/>
  <c r="B54" i="32"/>
  <c r="D59" i="32"/>
  <c r="B6" i="32"/>
  <c r="A6" i="32"/>
  <c r="B37" i="32"/>
  <c r="A37" i="32"/>
  <c r="D4" i="32"/>
  <c r="B38" i="32"/>
  <c r="A38" i="32"/>
  <c r="B4" i="32"/>
  <c r="A4" i="32"/>
  <c r="A60" i="32"/>
  <c r="A58" i="32"/>
  <c r="B58" i="32"/>
  <c r="B63" i="32"/>
  <c r="A63" i="32"/>
  <c r="C61" i="32"/>
  <c r="B62" i="32"/>
  <c r="A62" i="32"/>
  <c r="B40" i="32"/>
  <c r="A40" i="32"/>
  <c r="D61" i="32"/>
  <c r="B40" i="35"/>
  <c r="A40" i="35"/>
  <c r="C53" i="35"/>
  <c r="A19" i="35"/>
  <c r="B58" i="35"/>
  <c r="B62" i="35"/>
  <c r="A62" i="35"/>
  <c r="B22" i="35"/>
  <c r="A22" i="35"/>
  <c r="C54" i="35"/>
  <c r="A60" i="35"/>
  <c r="B53" i="35"/>
  <c r="A53" i="35"/>
  <c r="C55" i="35"/>
  <c r="A21" i="35"/>
  <c r="B55" i="35"/>
  <c r="A39" i="35"/>
  <c r="B5" i="35"/>
  <c r="A5" i="35"/>
  <c r="A59" i="35"/>
  <c r="B59" i="35"/>
  <c r="B21" i="35"/>
  <c r="B39" i="35"/>
  <c r="A4" i="35"/>
  <c r="C5" i="35"/>
  <c r="C39" i="35"/>
  <c r="B6" i="35"/>
  <c r="A6" i="35"/>
  <c r="A24" i="35"/>
  <c r="A54" i="35"/>
  <c r="B7" i="35"/>
  <c r="A7" i="35"/>
  <c r="D37" i="35"/>
  <c r="B24" i="35"/>
  <c r="B25" i="35"/>
  <c r="B23" i="47"/>
  <c r="B7" i="47"/>
  <c r="A7" i="47"/>
  <c r="B62" i="47"/>
  <c r="A62" i="47"/>
  <c r="D39" i="47"/>
  <c r="A23" i="47"/>
  <c r="B5" i="47"/>
  <c r="A5" i="47"/>
  <c r="B4" i="47"/>
  <c r="A4" i="47"/>
  <c r="B39" i="47"/>
  <c r="A39" i="47"/>
  <c r="B52" i="47"/>
  <c r="A52" i="47"/>
  <c r="C63" i="47"/>
  <c r="A37" i="47"/>
  <c r="B37" i="47"/>
  <c r="A38" i="47"/>
  <c r="A20" i="47"/>
  <c r="B20" i="47"/>
  <c r="D63" i="47"/>
  <c r="B59" i="47"/>
  <c r="A59" i="47"/>
  <c r="B38" i="47"/>
  <c r="A55" i="47"/>
  <c r="D61" i="47"/>
  <c r="C55" i="47"/>
  <c r="B6" i="47"/>
  <c r="A6" i="47"/>
  <c r="B55" i="47"/>
  <c r="B21" i="47"/>
  <c r="A21" i="47"/>
  <c r="A58" i="47"/>
  <c r="B58" i="47"/>
  <c r="B19" i="47"/>
  <c r="A19" i="47"/>
  <c r="C23" i="47"/>
  <c r="C61" i="47"/>
  <c r="B24" i="47"/>
  <c r="A24" i="47"/>
  <c r="C53" i="47"/>
  <c r="B63" i="47"/>
  <c r="A63" i="47"/>
  <c r="A61" i="47"/>
  <c r="B53" i="47"/>
  <c r="B54" i="47"/>
  <c r="A54" i="47"/>
  <c r="B41" i="47"/>
  <c r="A41" i="47"/>
  <c r="B25" i="47"/>
  <c r="A25" i="47"/>
  <c r="B40" i="47"/>
  <c r="A40" i="47"/>
  <c r="A53" i="47"/>
  <c r="B4" i="22"/>
  <c r="A4" i="22"/>
  <c r="B58" i="22"/>
  <c r="A58" i="22"/>
  <c r="B5" i="22"/>
  <c r="A5" i="22"/>
  <c r="B57" i="22"/>
  <c r="A57" i="22"/>
  <c r="B7" i="22"/>
  <c r="A7" i="22"/>
  <c r="B40" i="22"/>
  <c r="A40" i="22"/>
  <c r="D63" i="22"/>
  <c r="A63" i="22"/>
  <c r="D55" i="22"/>
  <c r="B62" i="22"/>
  <c r="A62" i="22"/>
  <c r="B41" i="22"/>
  <c r="A41" i="22"/>
  <c r="A55" i="22"/>
  <c r="B59" i="22"/>
  <c r="A59" i="22"/>
  <c r="D53" i="22"/>
  <c r="A37" i="22"/>
  <c r="B37" i="22"/>
  <c r="B39" i="22"/>
  <c r="A39" i="22"/>
  <c r="B55" i="22"/>
  <c r="B6" i="22"/>
  <c r="A6" i="22"/>
  <c r="B54" i="22"/>
  <c r="A54" i="22"/>
  <c r="A38" i="22"/>
  <c r="A53" i="22"/>
  <c r="A52" i="22"/>
  <c r="B52" i="22"/>
  <c r="B38" i="22"/>
  <c r="B53" i="22"/>
  <c r="D7" i="31"/>
  <c r="A24" i="31"/>
  <c r="B24" i="31"/>
  <c r="B20" i="31"/>
  <c r="A60" i="31"/>
  <c r="A52" i="31"/>
  <c r="B52" i="31"/>
  <c r="B22" i="31"/>
  <c r="C62" i="31"/>
  <c r="B60" i="31"/>
  <c r="B54" i="31"/>
  <c r="A54" i="31"/>
  <c r="B39" i="31"/>
  <c r="A39" i="31"/>
  <c r="B59" i="31"/>
  <c r="A59" i="31"/>
  <c r="B6" i="31"/>
  <c r="A6" i="31"/>
  <c r="B55" i="31"/>
  <c r="A55" i="31"/>
  <c r="C5" i="31"/>
  <c r="A58" i="31"/>
  <c r="B58" i="31"/>
  <c r="A38" i="31"/>
  <c r="D5" i="31"/>
  <c r="D58" i="31"/>
  <c r="A5" i="31"/>
  <c r="A53" i="31"/>
  <c r="A19" i="31"/>
  <c r="B38" i="31"/>
  <c r="C21" i="31"/>
  <c r="B53" i="31"/>
  <c r="B19" i="31"/>
  <c r="B63" i="31"/>
  <c r="A63" i="31"/>
  <c r="B62" i="31"/>
  <c r="A62" i="31"/>
  <c r="C20" i="31"/>
  <c r="D63" i="31"/>
  <c r="B37" i="31"/>
  <c r="A37" i="31"/>
  <c r="B40" i="31"/>
  <c r="A40" i="31"/>
  <c r="C59" i="31"/>
  <c r="C19" i="31"/>
  <c r="A21" i="31"/>
  <c r="B7" i="31"/>
  <c r="C7" i="31"/>
  <c r="D24" i="31"/>
  <c r="A4" i="31"/>
  <c r="B21" i="31"/>
  <c r="A25" i="31"/>
  <c r="B41" i="30"/>
  <c r="A41" i="30"/>
  <c r="B52" i="30"/>
  <c r="A52" i="30"/>
  <c r="C19" i="30"/>
  <c r="C20" i="30"/>
  <c r="C60" i="30"/>
  <c r="A37" i="30"/>
  <c r="B37" i="30"/>
  <c r="B60" i="30"/>
  <c r="A60" i="30"/>
  <c r="B5" i="30"/>
  <c r="A5" i="30"/>
  <c r="A7" i="30"/>
  <c r="B39" i="30"/>
  <c r="A39" i="30"/>
  <c r="B7" i="30"/>
  <c r="B62" i="30"/>
  <c r="A62" i="30"/>
  <c r="C5" i="30"/>
  <c r="A4" i="30"/>
  <c r="B54" i="30"/>
  <c r="A54" i="30"/>
  <c r="C53" i="30"/>
  <c r="A53" i="30"/>
  <c r="A59" i="30"/>
  <c r="B59" i="30"/>
  <c r="B53" i="30"/>
  <c r="A24" i="30"/>
  <c r="A63" i="30"/>
  <c r="B58" i="30"/>
  <c r="A58" i="30"/>
  <c r="D23" i="30"/>
  <c r="B25" i="30"/>
  <c r="C7" i="30"/>
  <c r="C41" i="30"/>
  <c r="A21" i="30"/>
  <c r="B6" i="30"/>
  <c r="A6" i="30"/>
  <c r="D4" i="30"/>
  <c r="D41" i="30"/>
  <c r="B21" i="30"/>
  <c r="B40" i="30"/>
  <c r="A40" i="30"/>
  <c r="A19" i="30"/>
  <c r="B4" i="3"/>
  <c r="A4" i="3"/>
  <c r="B21" i="3"/>
  <c r="A21" i="3"/>
  <c r="B59" i="3"/>
  <c r="A59" i="3"/>
  <c r="A58" i="3"/>
  <c r="B58" i="3"/>
  <c r="D21" i="3"/>
  <c r="B62" i="3"/>
  <c r="A62" i="3"/>
  <c r="A23" i="3"/>
  <c r="B54" i="3"/>
  <c r="A54" i="3"/>
  <c r="D7" i="3"/>
  <c r="B37" i="3"/>
  <c r="A37" i="3"/>
  <c r="A60" i="3"/>
  <c r="B23" i="3"/>
  <c r="B24" i="3"/>
  <c r="A24" i="3"/>
  <c r="A7" i="3"/>
  <c r="B60" i="3"/>
  <c r="B52" i="3"/>
  <c r="B6" i="3"/>
  <c r="A6" i="3"/>
  <c r="B7" i="3"/>
  <c r="A41" i="3"/>
  <c r="D53" i="3"/>
  <c r="A5" i="3"/>
  <c r="B41" i="3"/>
  <c r="A20" i="3"/>
  <c r="A55" i="3"/>
  <c r="B19" i="3"/>
  <c r="A19" i="3"/>
  <c r="B40" i="3"/>
  <c r="A40" i="3"/>
  <c r="D20" i="3"/>
  <c r="B5" i="3"/>
  <c r="A39" i="3"/>
  <c r="B20" i="3"/>
  <c r="D55" i="3"/>
  <c r="C52" i="3"/>
  <c r="A25" i="3"/>
  <c r="B25" i="3"/>
  <c r="B39" i="3"/>
  <c r="A53" i="3"/>
  <c r="C23" i="3"/>
  <c r="B53" i="3"/>
  <c r="C60" i="29"/>
  <c r="D20" i="29"/>
  <c r="B52" i="29"/>
  <c r="C20" i="29"/>
  <c r="B62" i="29"/>
  <c r="A62" i="29"/>
  <c r="A52" i="29"/>
  <c r="C25" i="29"/>
  <c r="A60" i="29"/>
  <c r="A59" i="29"/>
  <c r="B59" i="29"/>
  <c r="D40" i="29"/>
  <c r="D54" i="29"/>
  <c r="B24" i="29"/>
  <c r="A41" i="29"/>
  <c r="B23" i="29"/>
  <c r="A23" i="29"/>
  <c r="B38" i="29"/>
  <c r="A38" i="29"/>
  <c r="B4" i="29"/>
  <c r="A4" i="29"/>
  <c r="C52" i="29"/>
  <c r="B5" i="29"/>
  <c r="A5" i="29"/>
  <c r="B20" i="29"/>
  <c r="B41" i="29"/>
  <c r="A24" i="29"/>
  <c r="B21" i="29"/>
  <c r="A21" i="29"/>
  <c r="B63" i="29"/>
  <c r="A63" i="29"/>
  <c r="C53" i="29"/>
  <c r="B58" i="29"/>
  <c r="A58" i="29"/>
  <c r="A20" i="29"/>
  <c r="B40" i="29"/>
  <c r="A39" i="29"/>
  <c r="A19" i="29"/>
  <c r="B19" i="29"/>
  <c r="D5" i="29"/>
  <c r="A53" i="29"/>
  <c r="D58" i="29"/>
  <c r="B37" i="29"/>
  <c r="D62" i="29"/>
  <c r="B6" i="29"/>
  <c r="A6" i="29"/>
  <c r="A54" i="29"/>
  <c r="A37" i="29"/>
  <c r="B5" i="28"/>
  <c r="A5" i="28"/>
  <c r="B57" i="28"/>
  <c r="C58" i="28"/>
  <c r="B62" i="28"/>
  <c r="A62" i="28"/>
  <c r="B6" i="28"/>
  <c r="A6" i="28"/>
  <c r="D53" i="28"/>
  <c r="A39" i="28"/>
  <c r="B54" i="28"/>
  <c r="B55" i="28"/>
  <c r="A55" i="28"/>
  <c r="A52" i="28"/>
  <c r="B52" i="28"/>
  <c r="A41" i="28"/>
  <c r="C41" i="28"/>
  <c r="C53" i="28"/>
  <c r="B58" i="28"/>
  <c r="A58" i="28"/>
  <c r="D62" i="28"/>
  <c r="D60" i="28"/>
  <c r="B53" i="28"/>
  <c r="D52" i="28"/>
  <c r="B59" i="28"/>
  <c r="A59" i="28"/>
  <c r="C54" i="28"/>
  <c r="B40" i="28"/>
  <c r="A40" i="28"/>
  <c r="B63" i="28"/>
  <c r="A63" i="28"/>
  <c r="A53" i="28"/>
  <c r="D39" i="28"/>
  <c r="B23" i="28"/>
  <c r="A23" i="28"/>
  <c r="A21" i="28"/>
  <c r="A20" i="28"/>
  <c r="B20" i="28"/>
  <c r="A60" i="28"/>
  <c r="B24" i="28"/>
  <c r="A24" i="28"/>
  <c r="C60" i="28"/>
  <c r="C57" i="28"/>
  <c r="B7" i="28"/>
  <c r="A7" i="28"/>
  <c r="B5" i="20"/>
  <c r="A5" i="20"/>
  <c r="B56" i="20"/>
  <c r="A56" i="20"/>
  <c r="B23" i="20"/>
  <c r="A23" i="20"/>
  <c r="B6" i="20"/>
  <c r="A6" i="20"/>
  <c r="B54" i="20"/>
  <c r="A54" i="20"/>
  <c r="A25" i="20"/>
  <c r="B25" i="20"/>
  <c r="B39" i="20"/>
  <c r="A39" i="20"/>
  <c r="B20" i="20"/>
  <c r="A20" i="20"/>
  <c r="B62" i="20"/>
  <c r="A62" i="20"/>
  <c r="B4" i="20"/>
  <c r="A4" i="20"/>
  <c r="B38" i="20"/>
  <c r="A38" i="20"/>
  <c r="B58" i="20"/>
  <c r="A58" i="20"/>
  <c r="B59" i="20"/>
  <c r="A59" i="20"/>
  <c r="B61" i="20"/>
  <c r="A61" i="20"/>
  <c r="B41" i="20"/>
  <c r="A41" i="20"/>
  <c r="B60" i="20"/>
  <c r="A60" i="20"/>
  <c r="B63" i="20"/>
  <c r="A63" i="20"/>
  <c r="B55" i="20"/>
  <c r="A55" i="20"/>
  <c r="B37" i="20"/>
  <c r="A37" i="20"/>
  <c r="B19" i="20"/>
  <c r="A19" i="20"/>
  <c r="B52" i="20"/>
  <c r="A52" i="20"/>
  <c r="B21" i="20"/>
  <c r="A21" i="20"/>
  <c r="B24" i="20"/>
  <c r="A24" i="20"/>
  <c r="D53" i="20"/>
  <c r="B40" i="20"/>
  <c r="A40" i="20"/>
  <c r="B7" i="20"/>
  <c r="A7" i="20"/>
  <c r="B53" i="20"/>
  <c r="B57" i="16"/>
  <c r="A57" i="16"/>
  <c r="B60" i="16"/>
  <c r="A60" i="16"/>
  <c r="A62" i="16"/>
  <c r="B40" i="16"/>
  <c r="A40" i="16"/>
  <c r="B4" i="16"/>
  <c r="A4" i="16"/>
  <c r="B59" i="16"/>
  <c r="A59" i="16"/>
  <c r="A25" i="16"/>
  <c r="B39" i="16"/>
  <c r="A39" i="16"/>
  <c r="B37" i="16"/>
  <c r="A37" i="16"/>
  <c r="C21" i="16"/>
  <c r="A58" i="16"/>
  <c r="B58" i="16"/>
  <c r="A53" i="16"/>
  <c r="A23" i="16"/>
  <c r="C53" i="16"/>
  <c r="B23" i="16"/>
  <c r="A20" i="16"/>
  <c r="A52" i="16"/>
  <c r="B52" i="16"/>
  <c r="C19" i="16"/>
  <c r="D60" i="16"/>
  <c r="B7" i="16"/>
  <c r="A7" i="16"/>
  <c r="B20" i="16"/>
  <c r="B24" i="16"/>
  <c r="A24" i="16"/>
  <c r="B55" i="16"/>
  <c r="A55" i="16"/>
  <c r="D62" i="16"/>
  <c r="B63" i="16"/>
  <c r="A63" i="16"/>
  <c r="B5" i="16"/>
  <c r="A5" i="16"/>
  <c r="D21" i="16"/>
  <c r="B6" i="16"/>
  <c r="A6" i="16"/>
  <c r="C25" i="16"/>
  <c r="A19" i="16"/>
  <c r="A21" i="16"/>
  <c r="B61" i="16"/>
  <c r="A61" i="16"/>
  <c r="B21" i="37"/>
  <c r="A21" i="37"/>
  <c r="B4" i="37"/>
  <c r="A4" i="37"/>
  <c r="B19" i="37"/>
  <c r="A19" i="37"/>
  <c r="B40" i="37"/>
  <c r="A40" i="37"/>
  <c r="B24" i="37"/>
  <c r="A24" i="37"/>
  <c r="B6" i="37"/>
  <c r="A6" i="37"/>
  <c r="A25" i="37"/>
  <c r="B25" i="37"/>
  <c r="D59" i="37"/>
  <c r="B58" i="37"/>
  <c r="B59" i="37"/>
  <c r="A59" i="37"/>
  <c r="D53" i="37"/>
  <c r="C53" i="37"/>
  <c r="A53" i="37"/>
  <c r="D20" i="37"/>
  <c r="B7" i="37"/>
  <c r="A7" i="37"/>
  <c r="B62" i="37"/>
  <c r="A62" i="37"/>
  <c r="A39" i="37"/>
  <c r="B5" i="37"/>
  <c r="A5" i="37"/>
  <c r="C39" i="37"/>
  <c r="A20" i="37"/>
  <c r="B20" i="37"/>
  <c r="A38" i="37"/>
  <c r="B55" i="37"/>
  <c r="A55" i="37"/>
  <c r="C54" i="37"/>
  <c r="A54" i="37"/>
  <c r="B37" i="37"/>
  <c r="B6" i="21"/>
  <c r="A6" i="21"/>
  <c r="B63" i="21"/>
  <c r="A63" i="21"/>
  <c r="B5" i="21"/>
  <c r="A5" i="21"/>
  <c r="B55" i="21"/>
  <c r="A55" i="21"/>
  <c r="D53" i="21"/>
  <c r="A38" i="21"/>
  <c r="B37" i="21"/>
  <c r="A37" i="21"/>
  <c r="A39" i="21"/>
  <c r="B41" i="21"/>
  <c r="A41" i="21"/>
  <c r="B39" i="21"/>
  <c r="C63" i="21"/>
  <c r="A59" i="21"/>
  <c r="B59" i="21"/>
  <c r="D63" i="21"/>
  <c r="D41" i="21"/>
  <c r="A7" i="21"/>
  <c r="B4" i="21"/>
  <c r="A4" i="21"/>
  <c r="C55" i="7"/>
  <c r="D6" i="7"/>
  <c r="C57" i="7"/>
  <c r="D56" i="7"/>
  <c r="D25" i="7"/>
  <c r="C7" i="7"/>
  <c r="C56" i="7"/>
  <c r="D5" i="7"/>
  <c r="D38" i="7"/>
  <c r="D20" i="7"/>
  <c r="D23" i="7"/>
  <c r="D58" i="7"/>
  <c r="D63" i="7"/>
  <c r="C19" i="7"/>
  <c r="D41" i="7"/>
  <c r="C41" i="7"/>
  <c r="C60" i="7"/>
  <c r="D59" i="7"/>
  <c r="C59" i="7"/>
  <c r="D53" i="7"/>
  <c r="H22" i="7"/>
  <c r="D22" i="7" s="1"/>
  <c r="D19" i="7"/>
  <c r="D52" i="7"/>
  <c r="C52" i="7"/>
  <c r="D4" i="7"/>
  <c r="C4" i="7"/>
  <c r="D37" i="7"/>
  <c r="C37" i="7"/>
  <c r="C38" i="7"/>
  <c r="D54" i="7"/>
  <c r="C54" i="7"/>
  <c r="C63" i="7"/>
  <c r="C24" i="7"/>
  <c r="D62" i="7"/>
  <c r="C62" i="7"/>
  <c r="C20" i="7"/>
  <c r="D40" i="7"/>
  <c r="C40" i="7"/>
  <c r="C58" i="7"/>
  <c r="C5" i="7"/>
  <c r="C23" i="7"/>
  <c r="D38" i="21"/>
  <c r="D59" i="21"/>
  <c r="C59" i="21"/>
  <c r="D55" i="21"/>
  <c r="C55" i="21"/>
  <c r="D4" i="21"/>
  <c r="C4" i="21"/>
  <c r="D6" i="21"/>
  <c r="C6" i="21"/>
  <c r="C5" i="21"/>
  <c r="C37" i="21"/>
  <c r="D37" i="21"/>
  <c r="C39" i="21"/>
  <c r="C53" i="21"/>
  <c r="D19" i="37"/>
  <c r="C19" i="37"/>
  <c r="D24" i="37"/>
  <c r="C24" i="37"/>
  <c r="D6" i="37"/>
  <c r="C6" i="37"/>
  <c r="D21" i="37"/>
  <c r="C21" i="37"/>
  <c r="D4" i="37"/>
  <c r="C4" i="37"/>
  <c r="D40" i="37"/>
  <c r="C40" i="37"/>
  <c r="C25" i="37"/>
  <c r="D25" i="37"/>
  <c r="D62" i="37"/>
  <c r="C62" i="37"/>
  <c r="D5" i="37"/>
  <c r="C5" i="37"/>
  <c r="D55" i="37"/>
  <c r="C55" i="37"/>
  <c r="C38" i="37"/>
  <c r="C58" i="16"/>
  <c r="D58" i="16"/>
  <c r="D63" i="16"/>
  <c r="C63" i="16"/>
  <c r="D40" i="16"/>
  <c r="C40" i="16"/>
  <c r="D61" i="16"/>
  <c r="C61" i="16"/>
  <c r="D39" i="16"/>
  <c r="C39" i="16"/>
  <c r="D37" i="16"/>
  <c r="C37" i="16"/>
  <c r="C60" i="16"/>
  <c r="D57" i="16"/>
  <c r="C57" i="16"/>
  <c r="D6" i="16"/>
  <c r="C6" i="16"/>
  <c r="D52" i="16"/>
  <c r="C52" i="16"/>
  <c r="D4" i="16"/>
  <c r="C4" i="16"/>
  <c r="D24" i="16"/>
  <c r="C24" i="16"/>
  <c r="D5" i="16"/>
  <c r="C5" i="16"/>
  <c r="D55" i="16"/>
  <c r="C55" i="16"/>
  <c r="C23" i="16"/>
  <c r="C7" i="16"/>
  <c r="C59" i="16"/>
  <c r="D59" i="16"/>
  <c r="D40" i="20"/>
  <c r="C40" i="20"/>
  <c r="D25" i="20"/>
  <c r="C25" i="20"/>
  <c r="C20" i="20"/>
  <c r="D20" i="20"/>
  <c r="D62" i="20"/>
  <c r="C62" i="20"/>
  <c r="D7" i="20"/>
  <c r="C7" i="20"/>
  <c r="D5" i="20"/>
  <c r="C5" i="20"/>
  <c r="D56" i="20"/>
  <c r="C56" i="20"/>
  <c r="D23" i="20"/>
  <c r="C23" i="20"/>
  <c r="D6" i="20"/>
  <c r="C6" i="20"/>
  <c r="D54" i="20"/>
  <c r="C54" i="20"/>
  <c r="C19" i="20"/>
  <c r="D19" i="20"/>
  <c r="D39" i="20"/>
  <c r="C39" i="20"/>
  <c r="D24" i="20"/>
  <c r="C24" i="20"/>
  <c r="D4" i="20"/>
  <c r="C4" i="20"/>
  <c r="D60" i="20"/>
  <c r="C60" i="20"/>
  <c r="D38" i="20"/>
  <c r="C38" i="20"/>
  <c r="D52" i="20"/>
  <c r="C52" i="20"/>
  <c r="D21" i="20"/>
  <c r="C21" i="20"/>
  <c r="D58" i="20"/>
  <c r="C58" i="20"/>
  <c r="D59" i="20"/>
  <c r="C59" i="20"/>
  <c r="D61" i="20"/>
  <c r="C61" i="20"/>
  <c r="D41" i="20"/>
  <c r="C41" i="20"/>
  <c r="C53" i="20"/>
  <c r="D63" i="20"/>
  <c r="C63" i="20"/>
  <c r="D55" i="20"/>
  <c r="C55" i="20"/>
  <c r="C37" i="20"/>
  <c r="D37" i="20"/>
  <c r="D5" i="28"/>
  <c r="C5" i="28"/>
  <c r="D24" i="28"/>
  <c r="C24" i="28"/>
  <c r="C52" i="28"/>
  <c r="D22" i="28"/>
  <c r="D55" i="28"/>
  <c r="C55" i="28"/>
  <c r="C63" i="28"/>
  <c r="D40" i="28"/>
  <c r="C40" i="28"/>
  <c r="C39" i="28"/>
  <c r="D21" i="28"/>
  <c r="C59" i="28"/>
  <c r="D59" i="28"/>
  <c r="D7" i="28"/>
  <c r="C7" i="28"/>
  <c r="C37" i="28"/>
  <c r="D23" i="28"/>
  <c r="C23" i="28"/>
  <c r="C19" i="28"/>
  <c r="D59" i="29"/>
  <c r="C59" i="29"/>
  <c r="D23" i="29"/>
  <c r="C23" i="29"/>
  <c r="D24" i="29"/>
  <c r="C41" i="29"/>
  <c r="C21" i="29"/>
  <c r="D21" i="29"/>
  <c r="D19" i="29"/>
  <c r="C19" i="29"/>
  <c r="C37" i="29"/>
  <c r="D38" i="29"/>
  <c r="C38" i="29"/>
  <c r="D63" i="29"/>
  <c r="C63" i="29"/>
  <c r="C58" i="29"/>
  <c r="D53" i="29"/>
  <c r="D60" i="29"/>
  <c r="C4" i="29"/>
  <c r="D4" i="29"/>
  <c r="D52" i="3"/>
  <c r="C55" i="3"/>
  <c r="C7" i="3"/>
  <c r="D54" i="3"/>
  <c r="C54" i="3"/>
  <c r="D4" i="3"/>
  <c r="C4" i="3"/>
  <c r="C39" i="3"/>
  <c r="C21" i="3"/>
  <c r="D24" i="3"/>
  <c r="C24" i="3"/>
  <c r="D40" i="3"/>
  <c r="C40" i="3"/>
  <c r="D6" i="3"/>
  <c r="C6" i="3"/>
  <c r="C5" i="3"/>
  <c r="D25" i="3"/>
  <c r="C25" i="3"/>
  <c r="C41" i="3"/>
  <c r="C37" i="3"/>
  <c r="D37" i="3"/>
  <c r="D62" i="3"/>
  <c r="C62" i="3"/>
  <c r="D19" i="3"/>
  <c r="C19" i="3"/>
  <c r="D58" i="30"/>
  <c r="C58" i="30"/>
  <c r="D52" i="30"/>
  <c r="C52" i="30"/>
  <c r="C4" i="30"/>
  <c r="D6" i="30"/>
  <c r="C6" i="30"/>
  <c r="D37" i="30"/>
  <c r="D40" i="30"/>
  <c r="C40" i="30"/>
  <c r="D39" i="30"/>
  <c r="C39" i="30"/>
  <c r="C63" i="30"/>
  <c r="D62" i="30"/>
  <c r="C62" i="30"/>
  <c r="C23" i="30"/>
  <c r="D54" i="30"/>
  <c r="C54" i="30"/>
  <c r="D59" i="30"/>
  <c r="C59" i="30"/>
  <c r="D52" i="31"/>
  <c r="C52" i="31"/>
  <c r="D19" i="31"/>
  <c r="C53" i="31"/>
  <c r="C4" i="31"/>
  <c r="D55" i="31"/>
  <c r="C55" i="31"/>
  <c r="D40" i="31"/>
  <c r="C40" i="31"/>
  <c r="D6" i="31"/>
  <c r="C6" i="31"/>
  <c r="D38" i="31"/>
  <c r="C37" i="31"/>
  <c r="D37" i="31"/>
  <c r="C60" i="31"/>
  <c r="C22" i="31"/>
  <c r="D25" i="31"/>
  <c r="C24" i="31"/>
  <c r="C53" i="22"/>
  <c r="C37" i="22"/>
  <c r="D37" i="22"/>
  <c r="C39" i="22"/>
  <c r="D7" i="22"/>
  <c r="C7" i="22"/>
  <c r="D5" i="22"/>
  <c r="C5" i="22"/>
  <c r="C38" i="22"/>
  <c r="D6" i="22"/>
  <c r="C6" i="22"/>
  <c r="C55" i="22"/>
  <c r="D62" i="22"/>
  <c r="C62" i="22"/>
  <c r="D40" i="22"/>
  <c r="C40" i="22"/>
  <c r="D57" i="22"/>
  <c r="C57" i="22"/>
  <c r="D58" i="22"/>
  <c r="C58" i="22"/>
  <c r="C59" i="22"/>
  <c r="D59" i="22"/>
  <c r="D54" i="22"/>
  <c r="C54" i="22"/>
  <c r="D4" i="22"/>
  <c r="C4" i="22"/>
  <c r="C52" i="22"/>
  <c r="D52" i="22"/>
  <c r="D54" i="47"/>
  <c r="C54" i="47"/>
  <c r="C58" i="47"/>
  <c r="C6" i="47"/>
  <c r="D40" i="47"/>
  <c r="C40" i="47"/>
  <c r="D52" i="47"/>
  <c r="C52" i="47"/>
  <c r="D21" i="47"/>
  <c r="C21" i="47"/>
  <c r="C25" i="47"/>
  <c r="D25" i="47"/>
  <c r="D4" i="47"/>
  <c r="C4" i="47"/>
  <c r="C19" i="47"/>
  <c r="D19" i="47"/>
  <c r="D24" i="47"/>
  <c r="C24" i="47"/>
  <c r="D5" i="47"/>
  <c r="C5" i="47"/>
  <c r="C37" i="47"/>
  <c r="D37" i="47"/>
  <c r="D20" i="47"/>
  <c r="C20" i="47"/>
  <c r="C59" i="47"/>
  <c r="D59" i="47"/>
  <c r="D7" i="47"/>
  <c r="C7" i="47"/>
  <c r="C39" i="47"/>
  <c r="D62" i="47"/>
  <c r="C62" i="47"/>
  <c r="D59" i="35"/>
  <c r="C59" i="35"/>
  <c r="C24" i="35"/>
  <c r="D7" i="35"/>
  <c r="C7" i="35"/>
  <c r="D6" i="35"/>
  <c r="C6" i="35"/>
  <c r="C21" i="35"/>
  <c r="D62" i="35"/>
  <c r="C62" i="35"/>
  <c r="C25" i="35"/>
  <c r="C37" i="35"/>
  <c r="D19" i="35"/>
  <c r="C19" i="35"/>
  <c r="D40" i="35"/>
  <c r="C40" i="35"/>
  <c r="D22" i="35"/>
  <c r="C22" i="35"/>
  <c r="D63" i="32"/>
  <c r="C63" i="32"/>
  <c r="C59" i="32"/>
  <c r="D6" i="32"/>
  <c r="C6" i="32"/>
  <c r="D62" i="32"/>
  <c r="C62" i="32"/>
  <c r="D40" i="32"/>
  <c r="C40" i="32"/>
  <c r="C52" i="32"/>
  <c r="D52" i="32"/>
  <c r="D39" i="32"/>
  <c r="C39" i="32"/>
  <c r="C55" i="32"/>
  <c r="C37" i="32"/>
  <c r="D38" i="32"/>
  <c r="C38" i="32"/>
  <c r="C58" i="32"/>
  <c r="D58" i="32"/>
  <c r="C4" i="32"/>
  <c r="C41" i="32"/>
  <c r="D7" i="32"/>
  <c r="C7" i="32"/>
  <c r="D5" i="32"/>
  <c r="C5" i="32"/>
  <c r="D55" i="26"/>
  <c r="C39" i="26"/>
  <c r="D62" i="26"/>
  <c r="C62" i="26"/>
  <c r="D24" i="26"/>
  <c r="C24" i="26"/>
  <c r="C19" i="26"/>
  <c r="D19" i="26"/>
  <c r="C60" i="26"/>
  <c r="D54" i="26"/>
  <c r="C54" i="26"/>
  <c r="D52" i="26"/>
  <c r="C53" i="26"/>
  <c r="C25" i="26"/>
  <c r="D25" i="26"/>
  <c r="D6" i="26"/>
  <c r="C6" i="26"/>
  <c r="D21" i="26"/>
  <c r="C21" i="26"/>
  <c r="C4" i="26"/>
  <c r="C39" i="38"/>
  <c r="C41" i="38"/>
  <c r="D62" i="38"/>
  <c r="C62" i="38"/>
  <c r="D25" i="38"/>
  <c r="C25" i="38"/>
  <c r="C54" i="38"/>
  <c r="D54" i="38"/>
  <c r="C21" i="38"/>
  <c r="D21" i="38"/>
  <c r="C7" i="38"/>
  <c r="C57" i="38"/>
  <c r="D19" i="38"/>
  <c r="C19" i="38"/>
  <c r="D58" i="38"/>
  <c r="C58" i="38"/>
  <c r="D6" i="38"/>
  <c r="C6" i="38"/>
  <c r="C5" i="38"/>
  <c r="D24" i="38"/>
  <c r="C24" i="38"/>
  <c r="D40" i="38"/>
  <c r="C40" i="38"/>
  <c r="D4" i="38"/>
  <c r="C4" i="38"/>
  <c r="D60" i="38"/>
  <c r="C60" i="38"/>
  <c r="C52" i="38"/>
  <c r="D52" i="38"/>
  <c r="C53" i="38"/>
  <c r="C59" i="38"/>
  <c r="D37" i="38"/>
  <c r="C37" i="38"/>
  <c r="D61" i="38"/>
  <c r="C61" i="38"/>
  <c r="C62" i="39"/>
  <c r="D39" i="39"/>
  <c r="C58" i="39"/>
  <c r="D58" i="39"/>
  <c r="D4" i="39"/>
  <c r="C4" i="39"/>
  <c r="D24" i="39"/>
  <c r="C24" i="39"/>
  <c r="D40" i="39"/>
  <c r="C40" i="39"/>
  <c r="D25" i="39"/>
  <c r="C25" i="39"/>
  <c r="C53" i="39"/>
  <c r="D52" i="39"/>
  <c r="D21" i="39"/>
  <c r="C21" i="39"/>
  <c r="C19" i="39"/>
  <c r="D19" i="39"/>
  <c r="C5" i="39"/>
  <c r="D37" i="39"/>
  <c r="C37" i="39"/>
  <c r="D59" i="39"/>
  <c r="C59" i="39"/>
  <c r="D6" i="39"/>
  <c r="C6" i="39"/>
  <c r="C58" i="40"/>
  <c r="D58" i="40"/>
  <c r="D59" i="40"/>
  <c r="C59" i="40"/>
  <c r="C55" i="40"/>
  <c r="D60" i="40"/>
  <c r="D4" i="40"/>
  <c r="C4" i="40"/>
  <c r="D37" i="40"/>
  <c r="C37" i="40"/>
  <c r="D20" i="40"/>
  <c r="C20" i="40"/>
  <c r="D6" i="40"/>
  <c r="C6" i="40"/>
  <c r="D24" i="40"/>
  <c r="C24" i="40"/>
  <c r="D25" i="40"/>
  <c r="C25" i="40"/>
  <c r="C52" i="40"/>
  <c r="D21" i="40"/>
  <c r="C21" i="40"/>
  <c r="D53" i="40"/>
  <c r="C19" i="40"/>
  <c r="D19" i="40"/>
  <c r="D58" i="41"/>
  <c r="D40" i="41"/>
  <c r="C40" i="41"/>
  <c r="C21" i="41"/>
  <c r="D63" i="41"/>
  <c r="C63" i="41"/>
  <c r="D19" i="41"/>
  <c r="C54" i="41"/>
  <c r="C53" i="41"/>
  <c r="C19" i="41"/>
  <c r="D5" i="41"/>
  <c r="C5" i="41"/>
  <c r="D62" i="41"/>
  <c r="C62" i="41"/>
  <c r="D22" i="41"/>
  <c r="C22" i="41"/>
  <c r="C52" i="41"/>
  <c r="C59" i="41"/>
  <c r="D59" i="41"/>
  <c r="D24" i="41"/>
  <c r="C24" i="41"/>
  <c r="D39" i="41"/>
  <c r="C39" i="41"/>
  <c r="C54" i="45"/>
  <c r="D54" i="45"/>
  <c r="D6" i="45"/>
  <c r="C6" i="45"/>
  <c r="D62" i="45"/>
  <c r="C62" i="45"/>
  <c r="C55" i="45"/>
  <c r="D39" i="45"/>
  <c r="C39" i="45"/>
  <c r="C52" i="45"/>
  <c r="C38" i="45"/>
  <c r="D21" i="45"/>
  <c r="D40" i="45"/>
  <c r="C40" i="45"/>
  <c r="C63" i="45"/>
  <c r="D59" i="45"/>
  <c r="C59" i="45"/>
  <c r="C19" i="45"/>
  <c r="D37" i="45"/>
  <c r="C37" i="45"/>
  <c r="C53" i="45"/>
  <c r="D5" i="46"/>
  <c r="C5" i="46"/>
  <c r="D23" i="46"/>
  <c r="C23" i="46"/>
  <c r="D40" i="46"/>
  <c r="C40" i="46"/>
  <c r="D4" i="46"/>
  <c r="C4" i="46"/>
  <c r="C63" i="46"/>
  <c r="D37" i="46"/>
  <c r="C37" i="46"/>
  <c r="D6" i="46"/>
  <c r="C6" i="46"/>
  <c r="D24" i="46"/>
  <c r="C24" i="46"/>
  <c r="D39" i="46"/>
  <c r="C39" i="46"/>
  <c r="D7" i="46"/>
  <c r="C7" i="46"/>
  <c r="D62" i="46"/>
  <c r="C62" i="46"/>
  <c r="D21" i="46"/>
  <c r="C21" i="46"/>
  <c r="C54" i="46"/>
  <c r="C25" i="46"/>
  <c r="D25" i="46"/>
  <c r="D59" i="42"/>
  <c r="C59" i="42"/>
  <c r="D63" i="42"/>
  <c r="D6" i="42"/>
  <c r="C6" i="42"/>
  <c r="D40" i="42"/>
  <c r="C40" i="42"/>
  <c r="D4" i="42"/>
  <c r="D62" i="42"/>
  <c r="C62" i="42"/>
  <c r="D22" i="42"/>
  <c r="C21" i="42"/>
  <c r="D37" i="42"/>
  <c r="C37" i="42"/>
  <c r="D24" i="42"/>
  <c r="C24" i="42"/>
  <c r="D5" i="42"/>
  <c r="C5" i="42"/>
  <c r="C54" i="42"/>
  <c r="C19" i="42"/>
  <c r="D19" i="42"/>
  <c r="D40" i="49"/>
  <c r="D25" i="49"/>
  <c r="C25" i="49"/>
  <c r="D52" i="49"/>
  <c r="C52" i="49"/>
  <c r="D21" i="49"/>
  <c r="C21" i="49"/>
  <c r="C4" i="49"/>
  <c r="C19" i="49"/>
  <c r="D19" i="49"/>
  <c r="D59" i="49"/>
  <c r="C59" i="49"/>
  <c r="D7" i="49"/>
  <c r="C7" i="49"/>
  <c r="D58" i="49"/>
  <c r="D24" i="49"/>
  <c r="C24" i="49"/>
  <c r="C6" i="49"/>
  <c r="C38" i="49"/>
  <c r="C61" i="49"/>
  <c r="D53" i="49"/>
  <c r="C53" i="49"/>
  <c r="C5" i="49"/>
  <c r="D61" i="50"/>
  <c r="C61" i="50"/>
  <c r="C39" i="50"/>
  <c r="C53" i="50"/>
  <c r="D53" i="50"/>
  <c r="D21" i="50"/>
  <c r="C21" i="50"/>
  <c r="C19" i="50"/>
  <c r="D19" i="50"/>
  <c r="D4" i="50"/>
  <c r="C4" i="50"/>
  <c r="C58" i="50"/>
  <c r="D5" i="50"/>
  <c r="C5" i="50"/>
  <c r="D25" i="50"/>
  <c r="C25" i="50"/>
  <c r="D7" i="50"/>
  <c r="C7" i="50"/>
  <c r="C59" i="50"/>
  <c r="D59" i="50"/>
  <c r="C52" i="50"/>
  <c r="D52" i="50"/>
  <c r="D63" i="50"/>
  <c r="C63" i="50"/>
  <c r="D23" i="50"/>
  <c r="C23" i="50"/>
  <c r="C24" i="50"/>
  <c r="D37" i="50"/>
  <c r="C6" i="50"/>
  <c r="D38" i="50"/>
  <c r="C38" i="50"/>
  <c r="D38" i="51"/>
  <c r="C38" i="51"/>
  <c r="C7" i="51"/>
  <c r="C62" i="51"/>
  <c r="D63" i="51"/>
  <c r="C63" i="51"/>
  <c r="C60" i="51"/>
  <c r="D6" i="51"/>
  <c r="C6" i="51"/>
  <c r="D4" i="51"/>
  <c r="C4" i="51"/>
  <c r="D53" i="51"/>
  <c r="C53" i="51"/>
  <c r="D58" i="51"/>
  <c r="C5" i="51"/>
  <c r="D23" i="52"/>
  <c r="C23" i="52"/>
  <c r="D39" i="52"/>
  <c r="C39" i="52"/>
  <c r="D4" i="52"/>
  <c r="C21" i="52"/>
  <c r="D21" i="52"/>
  <c r="C6" i="52"/>
  <c r="D37" i="52"/>
  <c r="C37" i="52"/>
  <c r="D19" i="52"/>
  <c r="C19" i="52"/>
  <c r="D38" i="52"/>
  <c r="D5" i="52"/>
  <c r="C5" i="52"/>
  <c r="C7" i="52"/>
  <c r="C25" i="52"/>
  <c r="D25" i="52"/>
  <c r="D59" i="52"/>
  <c r="C59" i="52"/>
  <c r="C24" i="52"/>
  <c r="D41" i="52"/>
  <c r="C41" i="52"/>
  <c r="D60" i="52"/>
  <c r="C60" i="52"/>
  <c r="C58" i="52"/>
  <c r="D53" i="52"/>
  <c r="C53" i="52"/>
  <c r="D63" i="52"/>
  <c r="C63" i="52"/>
  <c r="C21" i="53"/>
  <c r="D21" i="53"/>
  <c r="C37" i="53"/>
  <c r="D37" i="53"/>
  <c r="D6" i="53"/>
  <c r="C6" i="53"/>
  <c r="C60" i="53"/>
  <c r="C40" i="53"/>
  <c r="C58" i="53"/>
  <c r="D19" i="53"/>
  <c r="C19" i="53"/>
  <c r="D59" i="53"/>
  <c r="C59" i="53"/>
  <c r="C63" i="53"/>
  <c r="C38" i="53"/>
  <c r="C24" i="53"/>
  <c r="C4" i="53"/>
  <c r="D4" i="53"/>
  <c r="D53" i="53"/>
  <c r="C53" i="53"/>
  <c r="C7" i="53"/>
  <c r="C39" i="53"/>
  <c r="D23" i="53"/>
  <c r="C23" i="53"/>
  <c r="D23" i="54"/>
  <c r="C23" i="54"/>
  <c r="D21" i="54"/>
  <c r="C21" i="54"/>
  <c r="C19" i="54"/>
  <c r="D19" i="54"/>
  <c r="D5" i="54"/>
  <c r="C5" i="54"/>
  <c r="C59" i="54"/>
  <c r="D41" i="54"/>
  <c r="C41" i="54"/>
  <c r="D39" i="54"/>
  <c r="C39" i="54"/>
  <c r="D37" i="54"/>
  <c r="C37" i="54"/>
  <c r="C38" i="54"/>
  <c r="D53" i="54"/>
  <c r="C53" i="54"/>
  <c r="D24" i="54"/>
  <c r="C24" i="54"/>
  <c r="D52" i="54"/>
  <c r="C52" i="54"/>
  <c r="C62" i="54"/>
  <c r="D20" i="54"/>
  <c r="D63" i="54"/>
  <c r="C63" i="54"/>
  <c r="C37" i="55"/>
  <c r="D23" i="55"/>
  <c r="D53" i="55"/>
  <c r="D63" i="55"/>
  <c r="C63" i="55"/>
  <c r="C21" i="55"/>
  <c r="D4" i="55"/>
  <c r="C4" i="55"/>
  <c r="C62" i="55"/>
  <c r="C52" i="55"/>
  <c r="D52" i="55"/>
  <c r="C6" i="55"/>
  <c r="C20" i="55"/>
  <c r="D19" i="56"/>
  <c r="C19" i="56"/>
  <c r="D7" i="56"/>
  <c r="C7" i="56"/>
  <c r="C4" i="56"/>
  <c r="C5" i="56"/>
  <c r="D59" i="56"/>
  <c r="C59" i="56"/>
  <c r="D58" i="56"/>
  <c r="C6" i="56"/>
  <c r="D6" i="56"/>
  <c r="C38" i="56"/>
  <c r="C63" i="56"/>
  <c r="D53" i="56"/>
  <c r="C53" i="56"/>
  <c r="C25" i="56"/>
  <c r="D21" i="56"/>
  <c r="C21" i="56"/>
  <c r="D23" i="56"/>
  <c r="C23" i="56"/>
  <c r="D40" i="57"/>
  <c r="C40" i="57"/>
  <c r="C60" i="57"/>
  <c r="C4" i="57"/>
  <c r="C52" i="57"/>
  <c r="D52" i="57"/>
  <c r="C41" i="57"/>
  <c r="C38" i="57"/>
  <c r="C63" i="57"/>
  <c r="D39" i="57"/>
  <c r="C39" i="57"/>
  <c r="D53" i="57"/>
  <c r="C53" i="57"/>
  <c r="D59" i="57"/>
  <c r="C59" i="57"/>
  <c r="C5" i="48"/>
  <c r="D5" i="48"/>
  <c r="D38" i="48"/>
  <c r="D7" i="48"/>
  <c r="C7" i="48"/>
  <c r="D59" i="48"/>
  <c r="C59" i="48"/>
  <c r="C6" i="48"/>
  <c r="D6" i="48"/>
  <c r="C53" i="48"/>
  <c r="D53" i="48"/>
  <c r="D19" i="48"/>
  <c r="C19" i="48"/>
  <c r="D23" i="48"/>
  <c r="C23" i="48"/>
  <c r="D21" i="48"/>
  <c r="C21" i="48"/>
  <c r="C25" i="48"/>
  <c r="D25" i="48"/>
  <c r="D22" i="45"/>
  <c r="D22" i="55" l="1"/>
  <c r="A22" i="51"/>
  <c r="B22" i="51"/>
  <c r="C22" i="51"/>
  <c r="D22" i="51"/>
  <c r="C22" i="49"/>
  <c r="B24" i="36"/>
  <c r="D24" i="36"/>
  <c r="H22" i="36"/>
  <c r="C22" i="36" s="1"/>
  <c r="C24" i="36"/>
  <c r="B20" i="36"/>
  <c r="J22" i="36"/>
  <c r="A22" i="32"/>
  <c r="B22" i="32"/>
  <c r="C22" i="32"/>
  <c r="D22" i="32"/>
  <c r="A22" i="22"/>
  <c r="B22" i="22"/>
  <c r="C22" i="22"/>
  <c r="D22" i="22"/>
  <c r="C22" i="30"/>
  <c r="B22" i="30"/>
  <c r="A22" i="57"/>
  <c r="B22" i="57"/>
  <c r="C22" i="57"/>
  <c r="D22" i="57"/>
  <c r="A22" i="21"/>
  <c r="B22" i="21"/>
  <c r="C22" i="21"/>
  <c r="D22" i="21"/>
  <c r="B22" i="54"/>
  <c r="A22" i="54"/>
  <c r="B22" i="55"/>
  <c r="A22" i="55"/>
  <c r="A22" i="48"/>
  <c r="B22" i="48"/>
  <c r="B22" i="58"/>
  <c r="A22" i="58"/>
  <c r="D22" i="58"/>
  <c r="C22" i="58"/>
  <c r="A22" i="7"/>
  <c r="B22" i="7"/>
  <c r="A22" i="53"/>
  <c r="B22" i="53"/>
  <c r="B22" i="52"/>
  <c r="A22" i="52"/>
  <c r="B22" i="50"/>
  <c r="A22" i="50"/>
  <c r="B22" i="49"/>
  <c r="A22" i="49"/>
  <c r="C22" i="42"/>
  <c r="A22" i="42"/>
  <c r="B22" i="42"/>
  <c r="B22" i="46"/>
  <c r="A22" i="46"/>
  <c r="A22" i="45"/>
  <c r="B22" i="45"/>
  <c r="C22" i="45"/>
  <c r="B22" i="40"/>
  <c r="A22" i="40"/>
  <c r="B22" i="39"/>
  <c r="A22" i="39"/>
  <c r="B22" i="38"/>
  <c r="A22" i="38"/>
  <c r="A53" i="36"/>
  <c r="B25" i="36"/>
  <c r="C23" i="36"/>
  <c r="A25" i="36"/>
  <c r="D20" i="36"/>
  <c r="B53" i="36"/>
  <c r="D23" i="36"/>
  <c r="A62" i="36"/>
  <c r="B62" i="36"/>
  <c r="C62" i="36"/>
  <c r="D19" i="36"/>
  <c r="B19" i="36"/>
  <c r="C25" i="36"/>
  <c r="C19" i="36"/>
  <c r="A20" i="36"/>
  <c r="B22" i="26"/>
  <c r="A22" i="26"/>
  <c r="B22" i="47"/>
  <c r="A22" i="47"/>
  <c r="D22" i="31"/>
  <c r="A22" i="31"/>
  <c r="A22" i="30"/>
  <c r="B22" i="3"/>
  <c r="A22" i="3"/>
  <c r="B22" i="29"/>
  <c r="A22" i="29"/>
  <c r="A22" i="28"/>
  <c r="B22" i="28"/>
  <c r="B22" i="20"/>
  <c r="A22" i="20"/>
  <c r="C22" i="16"/>
  <c r="A22" i="16"/>
  <c r="D22" i="16"/>
  <c r="B22" i="37"/>
  <c r="A22" i="37"/>
  <c r="C22" i="7"/>
  <c r="D22" i="37"/>
  <c r="C22" i="37"/>
  <c r="D22" i="20"/>
  <c r="C22" i="20"/>
  <c r="C22" i="28"/>
  <c r="D22" i="29"/>
  <c r="C22" i="29"/>
  <c r="D22" i="3"/>
  <c r="C22" i="3"/>
  <c r="D22" i="47"/>
  <c r="C22" i="47"/>
  <c r="D22" i="26"/>
  <c r="C22" i="26"/>
  <c r="D22" i="38"/>
  <c r="C22" i="38"/>
  <c r="D22" i="39"/>
  <c r="C22" i="39"/>
  <c r="D22" i="40"/>
  <c r="C22" i="40"/>
  <c r="D22" i="46"/>
  <c r="C22" i="46"/>
  <c r="D22" i="50"/>
  <c r="C22" i="50"/>
  <c r="D22" i="52"/>
  <c r="C22" i="52"/>
  <c r="D22" i="53"/>
  <c r="C22" i="53"/>
  <c r="D22" i="54"/>
  <c r="C22" i="54"/>
  <c r="C22" i="55"/>
  <c r="D22" i="56"/>
  <c r="C22" i="56"/>
  <c r="D22" i="48"/>
  <c r="C22" i="48"/>
  <c r="D22" i="36" l="1"/>
  <c r="B22" i="36"/>
  <c r="A22" i="3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tc={930CD538-AD08-4E20-851E-5EF250373A64}</author>
    <author>tc={4DC79765-3139-449F-A3A8-8ADDAF87974B}</author>
    <author>tc={9A9A70ED-61FD-47BA-AEF8-6FBCF70D69ED}</author>
  </authors>
  <commentList>
    <comment ref="J91" authorId="0" shapeId="0" xr:uid="{930CD538-AD08-4E20-851E-5EF250373A6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Sprawozdanie jest mieszaniną wzoru kalkulacyjnego ze wzorem wg zał. nr 6</t>
      </text>
    </comment>
    <comment ref="I95" authorId="1" shapeId="0" xr:uid="{4DC79765-3139-449F-A3A8-8ADDAF87974B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Prawdopodobnie nieprawidłowość w sporządzeniu sprawozdania finansowego - nie ma przychodów i kosztów. dz. gospodarczej, jest jej wynik, równy co do grosza wynikowi działalności statutowej. </t>
      </text>
    </comment>
    <comment ref="K126" authorId="2" shapeId="0" xr:uid="{9A9A70ED-61FD-47BA-AEF8-6FBCF70D69ED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kolejna wątpliwość co do poprawności sprawozdania: zysk i zobowiązania są sobie równe co do grosza
</t>
      </text>
    </comment>
  </commentList>
</comments>
</file>

<file path=xl/sharedStrings.xml><?xml version="1.0" encoding="utf-8"?>
<sst xmlns="http://schemas.openxmlformats.org/spreadsheetml/2006/main" count="6837" uniqueCount="667">
  <si>
    <t>E. Koszty ogólnego zarządu</t>
  </si>
  <si>
    <t>J. Przychody finansowe</t>
  </si>
  <si>
    <t>K. Koszty finansowe</t>
  </si>
  <si>
    <t xml:space="preserve">I. Przychody z nieodpłatnej działalności pożytku publicznego </t>
  </si>
  <si>
    <t xml:space="preserve">II. Przychody z odpłatnej działalności pożytku publicznego </t>
  </si>
  <si>
    <t xml:space="preserve">III. Przychody z pozostałej działalności statutowej </t>
  </si>
  <si>
    <t xml:space="preserve">B. Koszty działalności statutowej </t>
  </si>
  <si>
    <t xml:space="preserve">I. Koszty nieodpłatnej działalności pożytku publicznego </t>
  </si>
  <si>
    <t xml:space="preserve">II. Koszty odpłatnej działalności pożytku publicznego </t>
  </si>
  <si>
    <t xml:space="preserve">III. Koszty pozostałej działalności statutowej </t>
  </si>
  <si>
    <t xml:space="preserve">C. Zysk (strata) z działalności statutowej (A-B) </t>
  </si>
  <si>
    <t xml:space="preserve">D.  Przychody z działalności gospodarczej </t>
  </si>
  <si>
    <t>E.  Koszty działalności gospodarczej</t>
  </si>
  <si>
    <t xml:space="preserve">F. Zysk (strata) z działalności gospodarczej (D-E) </t>
  </si>
  <si>
    <t xml:space="preserve">G. Koszty ogólnego zarządu </t>
  </si>
  <si>
    <t xml:space="preserve">H. Zysk (strata) z działalności operacyjnej (C+F-G) </t>
  </si>
  <si>
    <t xml:space="preserve">I. Pozostałe przychody operacyjne </t>
  </si>
  <si>
    <t xml:space="preserve">J. Pozostałe koszty operacyjne </t>
  </si>
  <si>
    <t xml:space="preserve">K. Przychody finansowe </t>
  </si>
  <si>
    <t xml:space="preserve">L. Koszty finansowe </t>
  </si>
  <si>
    <t xml:space="preserve">M. Zysk (strata) brutto (H+I-J+K-L) </t>
  </si>
  <si>
    <t xml:space="preserve">N. Podatek dochodowy </t>
  </si>
  <si>
    <t>O. Zysk (strata) netto (M-N)</t>
  </si>
  <si>
    <t xml:space="preserve">A. Przychody z działalności statutowej </t>
  </si>
  <si>
    <r>
      <rPr>
        <b/>
        <sz val="9"/>
        <rFont val="Arial"/>
        <family val="2"/>
      </rPr>
      <t>0,00</t>
    </r>
  </si>
  <si>
    <r>
      <rPr>
        <b/>
        <sz val="9"/>
        <rFont val="Arial"/>
        <family val="2"/>
      </rPr>
      <t>AKTYWA</t>
    </r>
  </si>
  <si>
    <r>
      <rPr>
        <b/>
        <sz val="9"/>
        <rFont val="Arial"/>
        <family val="2"/>
      </rPr>
      <t>Aktywa trwafe</t>
    </r>
  </si>
  <si>
    <r>
      <rPr>
        <sz val="9"/>
        <rFont val="Arial"/>
        <family val="2"/>
      </rPr>
      <t>Wartosci niematerialne i prawne</t>
    </r>
  </si>
  <si>
    <r>
      <rPr>
        <sz val="9"/>
        <rFont val="Arial"/>
        <family val="2"/>
      </rPr>
      <t>0,00</t>
    </r>
  </si>
  <si>
    <r>
      <rPr>
        <sz val="9"/>
        <rFont val="Arial"/>
        <family val="2"/>
      </rPr>
      <t>Rzeczowe aktywa trwafe</t>
    </r>
  </si>
  <si>
    <r>
      <rPr>
        <sz val="9"/>
        <rFont val="Arial"/>
        <family val="2"/>
      </rPr>
      <t>Naleznosci dfugoterminowe</t>
    </r>
  </si>
  <si>
    <r>
      <rPr>
        <sz val="9"/>
        <rFont val="Arial"/>
        <family val="2"/>
      </rPr>
      <t>Inwestycje dfugoterminowe</t>
    </r>
  </si>
  <si>
    <r>
      <rPr>
        <sz val="9"/>
        <rFont val="Arial"/>
        <family val="2"/>
      </rPr>
      <t>Dfugoterminowe rozliczenia mi�dzyokresowe</t>
    </r>
  </si>
  <si>
    <r>
      <rPr>
        <b/>
        <sz val="9"/>
        <rFont val="Arial"/>
        <family val="2"/>
      </rPr>
      <t>Aktywa obrotowe</t>
    </r>
  </si>
  <si>
    <r>
      <rPr>
        <sz val="9"/>
        <rFont val="Arial"/>
        <family val="2"/>
      </rPr>
      <t>Zapasy</t>
    </r>
  </si>
  <si>
    <r>
      <rPr>
        <sz val="9"/>
        <rFont val="Arial"/>
        <family val="2"/>
      </rPr>
      <t>Naleznosci kr6tkoterminowe</t>
    </r>
  </si>
  <si>
    <r>
      <rPr>
        <sz val="9"/>
        <rFont val="Arial"/>
        <family val="2"/>
      </rPr>
      <t>Inwestycje krótkoterminowe</t>
    </r>
  </si>
  <si>
    <r>
      <rPr>
        <sz val="9"/>
        <rFont val="Arial"/>
        <family val="2"/>
      </rPr>
      <t>Kr6tkoterminowe rozliczenia mi�dzyokresowe</t>
    </r>
  </si>
  <si>
    <r>
      <rPr>
        <b/>
        <sz val="9"/>
        <rFont val="Arial"/>
        <family val="2"/>
      </rPr>
      <t>Nalei:ne wpfaty na fundusz statutowy</t>
    </r>
  </si>
  <si>
    <r>
      <rPr>
        <b/>
        <sz val="9"/>
        <rFont val="Arial"/>
        <family val="2"/>
      </rPr>
      <t>AKTYWA razem</t>
    </r>
  </si>
  <si>
    <r>
      <rPr>
        <b/>
        <sz val="9"/>
        <rFont val="Arial"/>
        <family val="2"/>
      </rPr>
      <t>PASYWA</t>
    </r>
  </si>
  <si>
    <r>
      <rPr>
        <b/>
        <sz val="9"/>
        <rFont val="Arial"/>
        <family val="2"/>
      </rPr>
      <t>Fundusz wfasny</t>
    </r>
  </si>
  <si>
    <r>
      <rPr>
        <sz val="9"/>
        <rFont val="Arial"/>
        <family val="2"/>
      </rPr>
      <t>Fundusz statutowy</t>
    </r>
  </si>
  <si>
    <r>
      <rPr>
        <sz val="9"/>
        <rFont val="Arial"/>
        <family val="2"/>
      </rPr>
      <t>Pozostafe fundusze</t>
    </r>
  </si>
  <si>
    <r>
      <rPr>
        <sz val="9"/>
        <rFont val="Arial"/>
        <family val="2"/>
      </rPr>
      <t>Zysk (strata) z lat ubiegfych</t>
    </r>
  </si>
  <si>
    <r>
      <rPr>
        <sz val="9"/>
        <rFont val="Arial"/>
        <family val="2"/>
      </rPr>
      <t>Zysk (strata) netto</t>
    </r>
  </si>
  <si>
    <r>
      <rPr>
        <sz val="9"/>
        <rFont val="Arial"/>
        <family val="2"/>
      </rPr>
      <t>Rezerwy na zobowiqzania</t>
    </r>
  </si>
  <si>
    <r>
      <rPr>
        <b/>
        <sz val="9"/>
        <rFont val="Arial"/>
        <family val="2"/>
      </rPr>
      <t>PASYWA razem</t>
    </r>
  </si>
  <si>
    <t>I. Koszty wytworzenia sprzedanych produktów</t>
  </si>
  <si>
    <t>G. Pozostale przychody operacyjne</t>
  </si>
  <si>
    <t>II. Dotacje</t>
  </si>
  <si>
    <t>IV. Inne przychody operacyjne</t>
  </si>
  <si>
    <t>3 Inne przychody operacyjne</t>
  </si>
  <si>
    <t>H. Pozostale koszty operacyjne</t>
  </si>
  <si>
    <t>III. Inne koszty operacyjne</t>
  </si>
  <si>
    <t>3 Inne koszty operacyjne</t>
  </si>
  <si>
    <t>II. Odsetki, w tym od jednostek powiqzanych</t>
  </si>
  <si>
    <t>V Inne</t>
  </si>
  <si>
    <t>I. Odsetki, w tym dla jednostek powiqzanych</t>
  </si>
  <si>
    <t>IV. Inne</t>
  </si>
  <si>
    <t>L. Zysk (strata) brutto (I + J - K)</t>
  </si>
  <si>
    <t>M. Podatek dochodowy</t>
  </si>
  <si>
    <t>N. Pozostale obowi�zkowe zmniejszenia zysku (zwi�kszenia straty)</t>
  </si>
  <si>
    <t>O. Zysk (strata) netto (L - M - N)</t>
  </si>
  <si>
    <t>A. Przychody netto ze sprzedaży produktów, towarów i materialów, w tym od jednostek powiązanych.</t>
  </si>
  <si>
    <t>I. Przychody netto ze sprzedaży produktów</t>
  </si>
  <si>
    <t>II. Przychody netto ze sprzedaży towarów i materiałów</t>
  </si>
  <si>
    <t>B. Koszty sprzedanych produktów, towarów i materiałów, w tym jednostkom powiązanym</t>
  </si>
  <si>
    <t>II. Wartosc sprzedanych towarów i materiałów</t>
  </si>
  <si>
    <t>C. Zysk (strata) ze sprzedaży (A-8)</t>
  </si>
  <si>
    <t>D. Koszty sprzedaży</t>
  </si>
  <si>
    <t>F. Zysk (strata) ze sprzedaży (C-0-E)</t>
  </si>
  <si>
    <t>I. Zysk z tytułu rozchodu niefinansowych aktywów trwałych</t>
  </si>
  <si>
    <t>III. Aktualizacja wartosci aktywów niefinansowych</t>
  </si>
  <si>
    <t>1 Przychody z działalnosci nieodpfatnej pożytku publicznego</t>
  </si>
  <si>
    <t>2 Przychody z działalnosci odpłatnej pożytku publicznego</t>
  </si>
  <si>
    <t>I. Strata z tytułu rozchodu niefinansowych aktywów trwałych</t>
  </si>
  <si>
    <t>II. Aktualizacja wartości aktywów niefinansowych</t>
  </si>
  <si>
    <t>1 Koszty z działalnosci nieodpłatnej pożytku publicznego</t>
  </si>
  <si>
    <t>2 Koszty z działalnosci odpłatnej pożytku publicznego</t>
  </si>
  <si>
    <t>I. Zysk (strata) z działalności operacyjnej (F + G - H)</t>
  </si>
  <si>
    <t>I. Dywidendy i udziały w zyskach, w tym</t>
  </si>
  <si>
    <t>a) od jednostek powiązanych, w tym w których jednostka posiada zaangazowanie w kapitale</t>
  </si>
  <si>
    <t>b) od jednostek pozostałych, w tym w których jednostka posiada zaangazowanie w kapitale</t>
  </si>
  <si>
    <t>III. Zysk z tytufu rozchodu aktywów finansowych, w tym w jednostkach powiqzanych</t>
  </si>
  <si>
    <t>IV. Aktualizacja wartości aktywów finansowych</t>
  </si>
  <si>
    <t>II. Strata z tytufu rozchodu aktywów finansowych, w tym w jednostkach powiqzanych</t>
  </si>
  <si>
    <t>III. Aktualizacja wartosci aktywów finansowych</t>
  </si>
  <si>
    <t>Rozliczenia międzyokresowe</t>
  </si>
  <si>
    <t>Zobowiqzania długoterminowe</t>
  </si>
  <si>
    <t>Zobowiqzania krótkoterminowe</t>
  </si>
  <si>
    <t>Zobowiązania i rezerwy na zobowiązania</t>
  </si>
  <si>
    <r>
      <rPr>
        <b/>
        <sz val="9"/>
        <rFont val="Arial"/>
        <family val="2"/>
      </rPr>
      <t>475,01</t>
    </r>
  </si>
  <si>
    <t>Rezerwy na zobowiqzania</t>
  </si>
  <si>
    <t>PRZZYCHODY STATUTOWE</t>
  </si>
  <si>
    <t>BRAKUJE CZĘŚCI DANYCH BINALSOWYCH - ZŁY PLIK W KRS, OBCIĘTY PDF NA STRONIE</t>
  </si>
  <si>
    <t xml:space="preserve">2023-12-31  </t>
  </si>
  <si>
    <t xml:space="preserve">2022-12-31  </t>
  </si>
  <si>
    <t xml:space="preserve">2021-12-31  </t>
  </si>
  <si>
    <t xml:space="preserve">2020-12-31  </t>
  </si>
  <si>
    <t xml:space="preserve">2019-12-31  </t>
  </si>
  <si>
    <t xml:space="preserve">2018-12-31  </t>
  </si>
  <si>
    <t>A. Aktywa trwałe</t>
  </si>
  <si>
    <t xml:space="preserve">    I. Wartości niematerialne i prawne</t>
  </si>
  <si>
    <t xml:space="preserve">        1. Koszty zakończonych prac rozwojowych</t>
  </si>
  <si>
    <t xml:space="preserve">        2. Wartość firmy</t>
  </si>
  <si>
    <t xml:space="preserve">        3. Inne wartości niematerialne i prawne</t>
  </si>
  <si>
    <t xml:space="preserve">        4. Zaliczki na wartości niematerialne i prawne</t>
  </si>
  <si>
    <t xml:space="preserve">    II. Rzeczowe aktywa trwałe</t>
  </si>
  <si>
    <t xml:space="preserve">        1. Środki trwałe</t>
  </si>
  <si>
    <t xml:space="preserve">            a. Grunty w tym prawa wieczyste</t>
  </si>
  <si>
    <t xml:space="preserve">            b. Budynki, lokale i obiekty</t>
  </si>
  <si>
    <t xml:space="preserve">            c. Urządzenia techniczne i maszyny</t>
  </si>
  <si>
    <t xml:space="preserve">            d. Środki transportu</t>
  </si>
  <si>
    <t xml:space="preserve">            e. Inne środki trwałe</t>
  </si>
  <si>
    <t xml:space="preserve">        2. Środki trwałe w budowie</t>
  </si>
  <si>
    <t xml:space="preserve">        3. Zaliczki na środki trwałe</t>
  </si>
  <si>
    <t xml:space="preserve">    III. Należności długoterminowe</t>
  </si>
  <si>
    <t xml:space="preserve">        1. Od jednostek powiązanych</t>
  </si>
  <si>
    <t xml:space="preserve">        2. Od pozostałych jednostek, w których jednostka posiada zaangażowanie w kapitale</t>
  </si>
  <si>
    <t xml:space="preserve">        3. Od pozostałych jednostek</t>
  </si>
  <si>
    <t xml:space="preserve">    IV. Inwestycje długoterminowe</t>
  </si>
  <si>
    <t xml:space="preserve">        1. Nieruchomości</t>
  </si>
  <si>
    <t xml:space="preserve">        2. Wartości niematerialne i prawne</t>
  </si>
  <si>
    <t xml:space="preserve">        3. Długoterminowe aktywa finansowe</t>
  </si>
  <si>
    <t xml:space="preserve">            a. W jednostkach powiązanych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</si>
  <si>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</si>
  <si>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</si>
  <si>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</si>
  <si>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długoterminowe aktywa finansowe</t>
  </si>
  <si>
    <t xml:space="preserve">            b. W pozostałych jednostkach, w których jednostka posiada zaangażowanie w kapitale</t>
  </si>
  <si>
    <t xml:space="preserve">            c. W pozostałych jednostkach</t>
  </si>
  <si>
    <t xml:space="preserve">        4. Inne inwestycje długoterminowe</t>
  </si>
  <si>
    <t xml:space="preserve">    V. Długoterminowe rozliczenia międzyokresowe</t>
  </si>
  <si>
    <t xml:space="preserve">        1. Aktywa z tytułu odroczonego podatku dochodowego</t>
  </si>
  <si>
    <t xml:space="preserve">        2. Inne rozliczenia międzyokresowe</t>
  </si>
  <si>
    <t>B. Aktywa obrotowe</t>
  </si>
  <si>
    <t xml:space="preserve">    I. Zapasy</t>
  </si>
  <si>
    <t xml:space="preserve">        1. Materiały</t>
  </si>
  <si>
    <t xml:space="preserve">        2. Półprodukty i produkty w toku</t>
  </si>
  <si>
    <t xml:space="preserve">        3. Produkty gotowe</t>
  </si>
  <si>
    <t xml:space="preserve">        4. Towary</t>
  </si>
  <si>
    <t xml:space="preserve">        5. Zaliczki na dostawy</t>
  </si>
  <si>
    <t xml:space="preserve">    II. Należności krótkoterminowe</t>
  </si>
  <si>
    <t xml:space="preserve">        1. Należności od jednostek powiązanych</t>
  </si>
  <si>
    <t xml:space="preserve">            a. Z tytułu dostaw i usług w okresie spłaty</t>
  </si>
  <si>
    <t xml:space="preserve">                i. Do 12 miesięcy</t>
  </si>
  <si>
    <t xml:space="preserve">                ii. Powyżej 12 miesięcy</t>
  </si>
  <si>
    <t xml:space="preserve">            b. Inne</t>
  </si>
  <si>
    <t xml:space="preserve">        2. Należności od pozostałych jednostek, w których jednostka posiada zaangażowanie w kapitale</t>
  </si>
  <si>
    <t xml:space="preserve">        3. Należności od pozostałych jednostek</t>
  </si>
  <si>
    <t xml:space="preserve">            b. Z tytułu podatków, dotacji, ceł, ZUS</t>
  </si>
  <si>
    <t xml:space="preserve">            c. Inne</t>
  </si>
  <si>
    <t xml:space="preserve">            d. Dochodzone na drodze sądowej</t>
  </si>
  <si>
    <t xml:space="preserve">    III. Inwestycje krótkoterminowe</t>
  </si>
  <si>
    <t xml:space="preserve">        1. Krótkoterminowe aktywa finansowe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</si>
  <si>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</si>
  <si>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</si>
  <si>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</si>
  <si>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krótkoterminowe aktywa finansowe</t>
  </si>
  <si>
    <t xml:space="preserve">            b. W pozostałych jednostkach</t>
  </si>
  <si>
    <t xml:space="preserve">            c. Środki pieniężne i inne aktywa pieniężne</t>
  </si>
  <si>
    <t xml:space="preserve">                i. Środki pieniężne w kasie i na rachunkach</t>
  </si>
  <si>
    <t xml:space="preserve">                ii. Inne środki pieniężne</t>
  </si>
  <si>
    <t xml:space="preserve">                iii. Inne aktywa pieniężne</t>
  </si>
  <si>
    <t xml:space="preserve">        2. Inne inwestycje krótkoterminowe</t>
  </si>
  <si>
    <t xml:space="preserve">    IV. Krótkoterminowe rozliczenia międzyokresowe</t>
  </si>
  <si>
    <t>C. Należne wpłaty na kapitał (fundusz) podstawowy</t>
  </si>
  <si>
    <t>D. Udziały (akcje) własne</t>
  </si>
  <si>
    <t>Aktywa razem</t>
  </si>
  <si>
    <t>A. Kapitał (fundusz) własny</t>
  </si>
  <si>
    <t xml:space="preserve">    I. Kapitał (fundusz) podstawowy</t>
  </si>
  <si>
    <t xml:space="preserve">    II. Kapitał (fundusz) zapasowy, w tym:</t>
  </si>
  <si>
    <t xml:space="preserve">        a. nadwyżka wartości sprzedaży (wartości emisyjnej) nad wartością nominalną udziałów (akcji)</t>
  </si>
  <si>
    <t xml:space="preserve">    III. Kapitał (fundusz) z aktualizacji wyceny, w tym:</t>
  </si>
  <si>
    <t xml:space="preserve">        a. z tytułu aktualizacji wartości godziwej</t>
  </si>
  <si>
    <t xml:space="preserve">    IV. Pozostałe kapitały (fundusze) rezerwowe, w tym:</t>
  </si>
  <si>
    <t xml:space="preserve">        a. tworzone zgodnie z umową (statutem) spółki</t>
  </si>
  <si>
    <t xml:space="preserve">        b. na udziały (akcje) własne</t>
  </si>
  <si>
    <t xml:space="preserve">    V. Zysk (strata) z lat ubiegłych</t>
  </si>
  <si>
    <t xml:space="preserve">    VI. Zysk (strata) netto</t>
  </si>
  <si>
    <t xml:space="preserve">    VII. Odpisy z zysku netto w ciągu roku obrotowego (wielkość ujemna)</t>
  </si>
  <si>
    <t>B. Zobowiązania i rezerwy na zobowiązania</t>
  </si>
  <si>
    <t xml:space="preserve">    I. Rezerwy na zobowiązania</t>
  </si>
  <si>
    <t xml:space="preserve">        1. Rezerwa z tytułu odroczonego podatku doch.</t>
  </si>
  <si>
    <t xml:space="preserve">        2. Rezerwa na świadczenia emerytalne i podobne</t>
  </si>
  <si>
    <t xml:space="preserve">            a. Długoterminowa</t>
  </si>
  <si>
    <t xml:space="preserve">            b. Krótkoterminowa</t>
  </si>
  <si>
    <t xml:space="preserve">        3. Pozostałe rezerwy</t>
  </si>
  <si>
    <t xml:space="preserve">    II. Zobowiązania długoterminowe</t>
  </si>
  <si>
    <t xml:space="preserve">        1. Wobec jednostek powiązanych</t>
  </si>
  <si>
    <t xml:space="preserve">        2. Wobec jednostek powiązanych, w których jednostka posiada zaangażowanie w kapitale</t>
  </si>
  <si>
    <t xml:space="preserve">        3. Wobec pozostałych jednostek</t>
  </si>
  <si>
    <t xml:space="preserve">            a. Kredyty i pożyczki</t>
  </si>
  <si>
    <t xml:space="preserve">            b. Z tytułu emisji dłużnych papierów wartościowych</t>
  </si>
  <si>
    <t xml:space="preserve">            c. Inne zobowiązania finansowe</t>
  </si>
  <si>
    <t xml:space="preserve">            d. Zobowiązania wekslowe</t>
  </si>
  <si>
    <t xml:space="preserve">            e. Inne</t>
  </si>
  <si>
    <t xml:space="preserve">    III. Zobowiązania krótkoterminowe</t>
  </si>
  <si>
    <t xml:space="preserve">        2. Zobowiązania wobec pozostałych jednostek, w których jednostka posiada zaangażowanie w kapitale</t>
  </si>
  <si>
    <t xml:space="preserve">            a. Z tytułu dostaw i usług o okresach wymagalności</t>
  </si>
  <si>
    <t xml:space="preserve">            d. Z tytułu dostaw i usług o okresach wymagalności</t>
  </si>
  <si>
    <t xml:space="preserve">            e. Zaliczki otrzymane na dostawy</t>
  </si>
  <si>
    <t xml:space="preserve">            f. Zobowiązania wekslowe</t>
  </si>
  <si>
    <t xml:space="preserve">            g. Z tytułu podatków, ceł, ZUS i innych świadczeń</t>
  </si>
  <si>
    <t xml:space="preserve">            h. Z tytułu wynagrodzeń</t>
  </si>
  <si>
    <t xml:space="preserve">            i. Inne</t>
  </si>
  <si>
    <t xml:space="preserve">        4. Fundusze specjalne</t>
  </si>
  <si>
    <t xml:space="preserve">    IV. Rozliczenia międzyokresowe</t>
  </si>
  <si>
    <t xml:space="preserve">        1. Ujemna wartość firmy</t>
  </si>
  <si>
    <t xml:space="preserve">            a. Długoterminowe</t>
  </si>
  <si>
    <t xml:space="preserve">            b. Krótkoterminowe</t>
  </si>
  <si>
    <t>Pasywa razem</t>
  </si>
  <si>
    <t>A. Przychody netto ze sprzedaży i zrównane z nimi, w tym:</t>
  </si>
  <si>
    <t xml:space="preserve">    -od jednostek powiązanych</t>
  </si>
  <si>
    <t xml:space="preserve">    I. Przychody netto ze sprzedaży produktów</t>
  </si>
  <si>
    <t xml:space="preserve">    II. Zmiana stanu produktów</t>
  </si>
  <si>
    <t xml:space="preserve">    III Koszt wytworzenia produktów na własne potrzeby jed.</t>
  </si>
  <si>
    <t xml:space="preserve">    IV. Przychody netto ze sprzedaży towarów i materiałów</t>
  </si>
  <si>
    <t>B. Koszty działalności operacyjnej</t>
  </si>
  <si>
    <t xml:space="preserve">    I. Amortyzacja</t>
  </si>
  <si>
    <t xml:space="preserve">    II. Zużycie materiałów i energii</t>
  </si>
  <si>
    <t xml:space="preserve">    III. Usługi obce</t>
  </si>
  <si>
    <t xml:space="preserve">    IV. Podatki i opłaty w tym:</t>
  </si>
  <si>
    <t xml:space="preserve">        - podatek akcyzowy</t>
  </si>
  <si>
    <t xml:space="preserve">    V. Wynagrodzenia</t>
  </si>
  <si>
    <t xml:space="preserve">    VI. Ubezpieczenia społeczne i inne świadczenia</t>
  </si>
  <si>
    <t xml:space="preserve">        - emerytalne</t>
  </si>
  <si>
    <t xml:space="preserve">    VII. Pozostałe koszty rodzajowe</t>
  </si>
  <si>
    <t xml:space="preserve">    VIII. Wartość sprzedanych towarów i materiałów</t>
  </si>
  <si>
    <t>C. Zysk (strata) ze sprzedaży (A-B)</t>
  </si>
  <si>
    <t>D. Pozostałe przychody operacyjne</t>
  </si>
  <si>
    <t xml:space="preserve">    I. Zysk ze zbycia niefinansowych aktywów trwałych</t>
  </si>
  <si>
    <t xml:space="preserve">    II. Dotacje</t>
  </si>
  <si>
    <t xml:space="preserve">    III. Aktualizacja wartości aktywów niefinansowych</t>
  </si>
  <si>
    <t xml:space="preserve">    IV. Inne przychody operacyjne</t>
  </si>
  <si>
    <t>E. Pozostałe koszty operacyjne</t>
  </si>
  <si>
    <t xml:space="preserve">    I. Strata ze zbycia niefinansowych aktywów trwałych</t>
  </si>
  <si>
    <t xml:space="preserve">    II. Aktualizacja wartości aktywów niefinansowych</t>
  </si>
  <si>
    <t xml:space="preserve">    III. Inne koszty operacyjne</t>
  </si>
  <si>
    <t>F. Zysk (strata) z działalności operacyjnej (C+D-E)</t>
  </si>
  <si>
    <t>G. Przychody finansowe</t>
  </si>
  <si>
    <t xml:space="preserve">    I. Dywidendy i udziały w zyskach w tym</t>
  </si>
  <si>
    <t xml:space="preserve">        a. od jednostek powiązanych, w tym</t>
  </si>
  <si>
    <t xml:space="preserve">            - w których jednostka posiada zaangażowanie w kapitale</t>
  </si>
  <si>
    <t xml:space="preserve">        b. od jednostek pozostałych, w tym</t>
  </si>
  <si>
    <t xml:space="preserve">    II. Odsetki w tym</t>
  </si>
  <si>
    <t xml:space="preserve">        - od jednostek powiązanych</t>
  </si>
  <si>
    <t xml:space="preserve">    III. Zysk ze zbycia inwestycji</t>
  </si>
  <si>
    <t xml:space="preserve">        - w jednostkach powiązanych</t>
  </si>
  <si>
    <t xml:space="preserve">    IV. Aktualizacja wartości inwestycji</t>
  </si>
  <si>
    <t xml:space="preserve">    V. Inne</t>
  </si>
  <si>
    <t>H. Koszty finansowe</t>
  </si>
  <si>
    <t xml:space="preserve">    I. Odsetki w tym:</t>
  </si>
  <si>
    <t xml:space="preserve">        - dla jednostek powiązanych</t>
  </si>
  <si>
    <t xml:space="preserve">    II. Strata z tytułu rozchodu aktywów finansowych, w tym</t>
  </si>
  <si>
    <t xml:space="preserve">    III Aktualizacja wartości inwestycji</t>
  </si>
  <si>
    <t xml:space="preserve">    IV. Inne</t>
  </si>
  <si>
    <t>K. Zysk (strata) brutto (I-+J)</t>
  </si>
  <si>
    <t>L. Podatek dochodowy</t>
  </si>
  <si>
    <t>M. Pozostałe obowiązkowe zmniejszenia zysku (zwiększenia straty)</t>
  </si>
  <si>
    <t>N. Zysk (strata) netto (K-L-M)</t>
  </si>
  <si>
    <t xml:space="preserve">    II. Należne wpłaty na kapitał podstawowy</t>
  </si>
  <si>
    <t xml:space="preserve">    III. Udziały (akcje) własne</t>
  </si>
  <si>
    <t xml:space="preserve">    IV. Kapitał (fundusz) zapasowy</t>
  </si>
  <si>
    <t xml:space="preserve">    V. Kapitał z aktualizacji wyceny</t>
  </si>
  <si>
    <t xml:space="preserve">    VI. Pozostałe kapitały rezerwowe</t>
  </si>
  <si>
    <t xml:space="preserve">    VII. Zysk (strata) z lat ubiegłych</t>
  </si>
  <si>
    <t xml:space="preserve">    VIII. Zysk (strata) netto</t>
  </si>
  <si>
    <t xml:space="preserve">    IX. Odpisy z zysku netto w ciągu roku</t>
  </si>
  <si>
    <t>I. Zysk (strata) z działaności gospodarczej (F+G-H)</t>
  </si>
  <si>
    <t>J. Wynik zdarzeń nadzwyczajnych (J.I.-J.II)</t>
  </si>
  <si>
    <t xml:space="preserve">    I. Zyski nadzwyczajne</t>
  </si>
  <si>
    <t xml:space="preserve">    II. Straty nadzwyczajne</t>
  </si>
  <si>
    <t>A. Przychody netto ze sprzedaży produktów, towarów i materiałów w tym:</t>
  </si>
  <si>
    <t>B. Koszty sprzedanych produktów, towarów i materiałów w tym:</t>
  </si>
  <si>
    <t>C. Zysk (strata) brutto ze sprzedaży (A-B)</t>
  </si>
  <si>
    <t>F. Zysk (strata) ze sprzedaży (C-D-E)</t>
  </si>
  <si>
    <t>G. Pozostałe przychody operacyjne</t>
  </si>
  <si>
    <t>H. Pozostałe koszty operacyjne</t>
  </si>
  <si>
    <t>N. Zysk (strata) brutto (L-+M)</t>
  </si>
  <si>
    <t>O. Podatek dochodowy</t>
  </si>
  <si>
    <t>R. Zysk (strata) netto (N-O-P)</t>
  </si>
  <si>
    <t xml:space="preserve">    III. Aktualizacja wartości aktywów niefinansowych </t>
  </si>
  <si>
    <t xml:space="preserve">        a. od jednostek powiązanych</t>
  </si>
  <si>
    <t xml:space="preserve">    III. Zysk z tytułu rozchodu aktywów finansowych</t>
  </si>
  <si>
    <t>Zobowiązania krótkoterminowe</t>
  </si>
  <si>
    <t>Inwestycje krótkoterminowe</t>
  </si>
  <si>
    <t>Należności krótkoterminowe</t>
  </si>
  <si>
    <t xml:space="preserve">Zapasy </t>
  </si>
  <si>
    <t xml:space="preserve">Krótkoterminowe rozliczenia międzyokres. </t>
  </si>
  <si>
    <t xml:space="preserve">WSKAŹNIKI PŁYNNOŚCI </t>
  </si>
  <si>
    <t>WSKAŹNIKI SPRAWNOŚCI DZIAŁANIA</t>
  </si>
  <si>
    <t>DSO - cykl inkasa należności</t>
  </si>
  <si>
    <t>Cykl konwersji gotówki w dniach</t>
  </si>
  <si>
    <t>Wskaźnik rotacji aktywów</t>
  </si>
  <si>
    <t>Wskaźnik rotacji aktywów obrotowych</t>
  </si>
  <si>
    <t xml:space="preserve">WSKAŹNIKI STRUKTURY FINANSOWANIA </t>
  </si>
  <si>
    <t>Wskaźnik struktury kapitału</t>
  </si>
  <si>
    <t>Mnożnik kapitału własnego</t>
  </si>
  <si>
    <t>Wskaźnik pokrycia odsetek</t>
  </si>
  <si>
    <t>WSKAŹNIKI RENTOWNOŚCI</t>
  </si>
  <si>
    <t>Wskaźnik rentowności kapitału zaangażowanego (ROCE)</t>
  </si>
  <si>
    <t>Aktywa ogółem</t>
  </si>
  <si>
    <t xml:space="preserve">Przychody netto ze sprzedaży </t>
  </si>
  <si>
    <t>Należności od odbiorców (handlowe)</t>
  </si>
  <si>
    <t>Zapasy</t>
  </si>
  <si>
    <t>Zobowiązania wobec dostawców</t>
  </si>
  <si>
    <t xml:space="preserve">Aktywa trwałe </t>
  </si>
  <si>
    <t>Aktywa obrotowe</t>
  </si>
  <si>
    <t>Rezerwy na zobowiązania</t>
  </si>
  <si>
    <t xml:space="preserve">Kapitały własne </t>
  </si>
  <si>
    <t>Zobowiązania długoterminowe</t>
  </si>
  <si>
    <t>Zysk brutto (EBT)</t>
  </si>
  <si>
    <t xml:space="preserve">Odsetki </t>
  </si>
  <si>
    <t>Zysk netto</t>
  </si>
  <si>
    <t xml:space="preserve">Aktywa ogółem </t>
  </si>
  <si>
    <t>Zobowiązania oprocentowane</t>
  </si>
  <si>
    <t>Zobowiązania ogółem (krótko- + długoterm.)</t>
  </si>
  <si>
    <t>Załącznik nr 6 do UoR</t>
  </si>
  <si>
    <t>AKTYWA</t>
  </si>
  <si>
    <t>Aktywa trwafe</t>
  </si>
  <si>
    <t>Wartosci niematerialne i prawne</t>
  </si>
  <si>
    <t>Rzeczowe aktywa trwafe</t>
  </si>
  <si>
    <t>Naleznosci dfugoterminowe</t>
  </si>
  <si>
    <t>Inwestycje dfugoterminowe</t>
  </si>
  <si>
    <t>Dfugoterminowe rozliczenia mi�dzyokresowe</t>
  </si>
  <si>
    <t>Naleznosci kr6tkoterminowe</t>
  </si>
  <si>
    <t>Kr6tkoterminowe rozliczenia mi�dzyokresowe</t>
  </si>
  <si>
    <t>Nalei:ne wpfaty na fundusz statutowy</t>
  </si>
  <si>
    <t>AKTYWA razem</t>
  </si>
  <si>
    <t>PASYWA</t>
  </si>
  <si>
    <t>Fundusz wfasny</t>
  </si>
  <si>
    <t>Fundusz statutowy</t>
  </si>
  <si>
    <t>Pozostafe fundusze</t>
  </si>
  <si>
    <t>Zysk (strata) z lat ubiegfych</t>
  </si>
  <si>
    <t>Zysk (strata) netto</t>
  </si>
  <si>
    <t>PASYWA razem</t>
  </si>
  <si>
    <t>RZiS wg załącznika nr 6 do UoR</t>
  </si>
  <si>
    <t>RZiS wg zał. nr 1 do UoR, wiariant kalkulacyjny, uzupełniony o pozycje wykazujące działalność statutową.</t>
  </si>
  <si>
    <t>Bilans wg zał. nr 6 i zał. nr 1 UoR</t>
  </si>
  <si>
    <t xml:space="preserve">Zysk brutto </t>
  </si>
  <si>
    <t>Wskaźnik rentowności działalności statutowej</t>
  </si>
  <si>
    <t xml:space="preserve">Wskaźnik rentowności działalności statutowej nieodpłatnej </t>
  </si>
  <si>
    <t xml:space="preserve">Wskaźnik rentowności działalności statutowej odpłatnej </t>
  </si>
  <si>
    <t xml:space="preserve">Zysk na działaności statutowej </t>
  </si>
  <si>
    <t>Wskaźnik rentownosci pozostałej działaności statutowej</t>
  </si>
  <si>
    <t xml:space="preserve">Przychody z działalności statutowej nieodpłatnej </t>
  </si>
  <si>
    <t xml:space="preserve">Przychody z działalności statutowej odpłatnej </t>
  </si>
  <si>
    <t xml:space="preserve">Przychody z pozostałej działalności statutowej </t>
  </si>
  <si>
    <t>Wskaźnik rentowności sprzedaży ROS (dz. oper)</t>
  </si>
  <si>
    <t>Wskaźnik rentowności sprzedaży ROS (dz. gosp)</t>
  </si>
  <si>
    <t>Zysk na działalnosci gospodarczej (zał. nr 6) lub Zysk ze sprzedaży (zał. nr 1)</t>
  </si>
  <si>
    <t xml:space="preserve">Koszty działalności statutowej nieodpłatnej </t>
  </si>
  <si>
    <t xml:space="preserve">Koszty działalności statutowej odpłatnej </t>
  </si>
  <si>
    <t xml:space="preserve">Koszty pozostałej działalności statutowej </t>
  </si>
  <si>
    <t>Wskażnik rentowności brutto (całość działalności)</t>
  </si>
  <si>
    <t>Przychody finansowe</t>
  </si>
  <si>
    <t>Przychody z dz. gosp. (zał nr 6) lub Przychody ze sprzedaży (zał. nr 1)</t>
  </si>
  <si>
    <t>Pozostałe przychody operacyjne</t>
  </si>
  <si>
    <t>Zysk z działalności operacyjnej</t>
  </si>
  <si>
    <t>Wskaźnik rentowność netto (całość działalności)</t>
  </si>
  <si>
    <t>Rozliczenia międzyokresowe bierne</t>
  </si>
  <si>
    <t>Wskaźnik bieżącej płynności finansowej (zobow. krótk.)</t>
  </si>
  <si>
    <t>Wskaźnik bieżącej płynności finansowej (zobow. bież)</t>
  </si>
  <si>
    <t>Wskaźnik podwyższonej płynności finansowej</t>
  </si>
  <si>
    <t>Wskaźnik płynności środków pieniężnych</t>
  </si>
  <si>
    <t>DIO - wskaźnik zapasów w dniach / Cykl konwersji zapasów</t>
  </si>
  <si>
    <t>DPO - wskaźnik płatności zobowiązań w dniach</t>
  </si>
  <si>
    <t>Wskaźnik rotacji aktywów trwałych</t>
  </si>
  <si>
    <t>Wskaźnik zadłużenia</t>
  </si>
  <si>
    <t>Wskaźnik udziału zobowiązań długoterminowych w finansowaniu</t>
  </si>
  <si>
    <t>Wskaźnik rentowności aktywów ogółem (ROA) (wariant uwzgl. zysk operacyjny) / Wskaźnik siły zarobkowej aktywów</t>
  </si>
  <si>
    <t>Wskaźnik zyskowności aktywow (uwzgl. zysk netto)</t>
  </si>
  <si>
    <t>Wskaźnik rentowności kapitału własnego (ROE) (uwzgl. zysk netto)</t>
  </si>
  <si>
    <t xml:space="preserve">Przychody statutowe są podpozycją w Przychodach netto ze sprzedaży - jest to ujęcie trudne do wyjaśnienia. </t>
  </si>
  <si>
    <t xml:space="preserve">Bardzo duże koszty finansowe, które nie są kosztami odsetkowymi, jednocześnie zobowiązania długoterminowe zero. </t>
  </si>
  <si>
    <t xml:space="preserve">BRAK DANYCH w sprawozdaniu nie wykazano kosztów działalności statutowej. </t>
  </si>
  <si>
    <t xml:space="preserve">BRAK DANYCH w sprawodaniu nie wykazano odrębnie tej pozycji </t>
  </si>
  <si>
    <t xml:space="preserve">BRAK DANYCH jest pozycja Dotacje, nie ma kosztów z dotacji </t>
  </si>
  <si>
    <t>BILANS</t>
  </si>
  <si>
    <t>UWAGA po 2018 roku zmiana sposobu księgowania RZiS</t>
  </si>
  <si>
    <t xml:space="preserve">W celu wyliczenia zysku z d. operacyjnej do zysku brutto dodano przychody finansowe i odjęto koszty finansowe. </t>
  </si>
  <si>
    <t>Zysk operacyjny obliczony jako zysk brutto dodać przychody finansowe minus koszty finansowe</t>
  </si>
  <si>
    <t>Brak takiej pozycji w bilansie</t>
  </si>
  <si>
    <t>Brak możliwości rozróżnieia zobowiązań długo i krótkoterminowych, założono, że kwota stanowi zob. krótkoterm.</t>
  </si>
  <si>
    <t>Obliczony jako zysk netto plus podatki</t>
  </si>
  <si>
    <t>Mediana</t>
  </si>
  <si>
    <t>Średnia</t>
  </si>
  <si>
    <t>nd</t>
  </si>
  <si>
    <t>Minim.</t>
  </si>
  <si>
    <t>Maxim.</t>
  </si>
  <si>
    <t xml:space="preserve">nie dot. </t>
  </si>
  <si>
    <t>nie dot.</t>
  </si>
  <si>
    <t xml:space="preserve">PSONI RYMANÓW </t>
  </si>
  <si>
    <t>PSONI SZCZECIN</t>
  </si>
  <si>
    <t>PSONI GDAŃSK</t>
  </si>
  <si>
    <t xml:space="preserve">PSONI KROSNO </t>
  </si>
  <si>
    <t>PSONI STARGARD</t>
  </si>
  <si>
    <t>PSONI GRYFICE</t>
  </si>
  <si>
    <t>PSONI DZIERŻONIÓW</t>
  </si>
  <si>
    <t>BANK ŻYWNOŚCI OLSZTYN</t>
  </si>
  <si>
    <t>FUNDACJA GOSPODARCZA ŚW. BRATA ALBERTA</t>
  </si>
  <si>
    <t>FUNDACJA CARITAS KATOWICE</t>
  </si>
  <si>
    <t>Spółdzielnia Socjalna FENIKS</t>
  </si>
  <si>
    <t>SPÓŁDZIELNIA SOCJALNA "SAMODZIELNOŚĆ, PRACA, AKTYWNOŚĆ</t>
  </si>
  <si>
    <t>Spółdzielnia Socjalna Parasol</t>
  </si>
  <si>
    <t>Progresum Spółdzielnia Socjalna</t>
  </si>
  <si>
    <t>Spółdzielnia Socjalna Dalba</t>
  </si>
  <si>
    <t>Spółdzielnia Socjalna Serwis</t>
  </si>
  <si>
    <t>Spółdzielnia Socjalna ARTE</t>
  </si>
  <si>
    <t>SPÓŁDZIELNIA SOCJALNA "KINO MARZENIE"</t>
  </si>
  <si>
    <t xml:space="preserve">Stowarzyszenie na rzecz Spółdzielni Socjalnych </t>
  </si>
  <si>
    <t>Rawsko-Bialska Spółdzielnia Socjalna "Nadzieja i Praca"</t>
  </si>
  <si>
    <t>SPÓŁDZIELNIA SOCJALNA OPOKA</t>
  </si>
  <si>
    <t>STOWARZYSZENIE NA RZECZ OSÓB NIEPEŁNOSPRAWNYCH "RAZEM"</t>
  </si>
  <si>
    <t>POLSKI ZWIĄZEK NIEWIDOMYCH - OKRĘG ŚWIĘTOKRZYSKI W KIELCACH</t>
  </si>
  <si>
    <t>Polski Związek Niewidomych</t>
  </si>
  <si>
    <t>BIELSKIE STOWARZYSZENIE ARTYSTYCZNE "TEATR GRODZKI"</t>
  </si>
  <si>
    <t>STOWARZYSZENIE RODZICÓW I OPIEKUNÓW OSÓB NIEPEŁNOSPRAWNYCH "KONICZYNKA"</t>
  </si>
  <si>
    <t>STOWARZYSZENIE POMOCY WZAJEMNEJ "BARKA"</t>
  </si>
  <si>
    <t>STOWARZYSZENIE INTEGRACYJNE WSPÓLNOTY BARKA</t>
  </si>
  <si>
    <t>FUNDACJA POMOCY WZAJEMNEJ "BARKA"</t>
  </si>
  <si>
    <t>FUNDACJA ANNY DYMNEJ MIMO WSZYSTKO</t>
  </si>
  <si>
    <t>RZESZOWSKIE TOWARZYSTWO POMOCY IM. ŚW. BRATA ALBERTA W RZESZOWIE</t>
  </si>
  <si>
    <t>Fundacja Światło dla Życia</t>
  </si>
  <si>
    <t>Fundacja "Integracja"</t>
  </si>
  <si>
    <t>"FUNDACJA CARITAS DIECEZJI BIELSKO-ŻYWIECKIEJ"</t>
  </si>
  <si>
    <t>I. Zysk (strata) brutto (F + G - H)</t>
  </si>
  <si>
    <t>L. Zysk (strata) netto (I - J - K)</t>
  </si>
  <si>
    <t>I. Wartosci niematerialne i prawne</t>
  </si>
  <si>
    <t>II. Rzeczowe aktywa trwałe</t>
  </si>
  <si>
    <t>RACHUNEK ZYSKÓW I STRAT</t>
  </si>
  <si>
    <t>III. Należności długoterminowe</t>
  </si>
  <si>
    <t>IV. Inwestycje długoterminowe</t>
  </si>
  <si>
    <t>V. Długoterminowe rozliczenia międzyokresowe</t>
  </si>
  <si>
    <t xml:space="preserve">NAZWA PODMIOTU </t>
  </si>
  <si>
    <t>końcowy termin spłaty</t>
  </si>
  <si>
    <t>oprocentow. roczne</t>
  </si>
  <si>
    <t>…</t>
  </si>
  <si>
    <t>zakup maszyn i urządzeń</t>
  </si>
  <si>
    <t xml:space="preserve">KRS lub REGON </t>
  </si>
  <si>
    <t>WNIOSEK O POŻYCZKĘ DLA EKONOMII SPOŁECZNEJ      -      HISTORYCZNE DANE FINANSOWE</t>
  </si>
  <si>
    <t>kwota na koniec 2024</t>
  </si>
  <si>
    <t>m-czna rata kapitałowa</t>
  </si>
  <si>
    <t>G. Przychody finnsowe</t>
  </si>
  <si>
    <t xml:space="preserve">J. Podatek dochodowy </t>
  </si>
  <si>
    <t>K. Pozostałe obowiązkowe zmniejszenia zysku (zwiększenie straty)</t>
  </si>
  <si>
    <r>
      <t xml:space="preserve">Formularz dla Klientów sporządzających sprawozdanie </t>
    </r>
    <r>
      <rPr>
        <b/>
        <sz val="14"/>
        <color theme="1"/>
        <rFont val="Arial"/>
        <family val="2"/>
        <charset val="238"/>
      </rPr>
      <t xml:space="preserve">wg wzoru nr 1 do UoR
</t>
    </r>
    <r>
      <rPr>
        <b/>
        <sz val="10"/>
        <color theme="1"/>
        <rFont val="Arial"/>
        <family val="2"/>
        <charset val="238"/>
      </rPr>
      <t xml:space="preserve">w wariancie </t>
    </r>
    <r>
      <rPr>
        <b/>
        <sz val="14"/>
        <color theme="1"/>
        <rFont val="Arial"/>
        <family val="2"/>
        <charset val="238"/>
      </rPr>
      <t>porównawczym.</t>
    </r>
  </si>
  <si>
    <t>Należy wypełnić białe pola w tabeli.</t>
  </si>
  <si>
    <t>Uwagi:</t>
  </si>
  <si>
    <t xml:space="preserve">Kwota amortyzacji rocznej </t>
  </si>
  <si>
    <t>TABELA NR 1 cz. I. Informacje o dotacjach</t>
  </si>
  <si>
    <t>TABELA NR 5. Informacje o funduszach specjalnych</t>
  </si>
  <si>
    <t>TABELA NR 6. Dodatkowe informacje o rozliczeniach międzyokresowych biernych</t>
  </si>
  <si>
    <t>TABELA NR 2. Amortyzacja</t>
  </si>
  <si>
    <t>- od jednostek powiązanych</t>
  </si>
  <si>
    <t xml:space="preserve">II. Zmiana stanu produktów </t>
  </si>
  <si>
    <t>III. Koszt wytworzenia produktów na własne potrzeby jednostki</t>
  </si>
  <si>
    <t>IV. Przychody netto ze sprzedaży towarów</t>
  </si>
  <si>
    <t>I. Amortyzacja</t>
  </si>
  <si>
    <t>II. Zużycie materiałów i energii</t>
  </si>
  <si>
    <t>III. Usługi obce</t>
  </si>
  <si>
    <t>IV. Podatki i opłaty w tym:</t>
  </si>
  <si>
    <t>- podatek akcyzowy</t>
  </si>
  <si>
    <t>V. Wynagrodzenia</t>
  </si>
  <si>
    <t>VI. Ubezpieczenia społeczne i inne świadczenia</t>
  </si>
  <si>
    <t>- emerytalne</t>
  </si>
  <si>
    <t>VII. Pozostałe koszty rodzajowe</t>
  </si>
  <si>
    <t>VIII. Wartość sprzedanych towarów i materiałów</t>
  </si>
  <si>
    <t>I. Zysk ze zbycia niefinansowych aktywów trwałych</t>
  </si>
  <si>
    <t>III. Aktualizacja wartości aktywów niefinansowych</t>
  </si>
  <si>
    <t>a. od jednostek powiązanych, w tym</t>
  </si>
  <si>
    <t>b. od jednostek pozostałych, w tym</t>
  </si>
  <si>
    <t>II. Odsetki w tym</t>
  </si>
  <si>
    <t>III. Zysk ze zbycia inwestycji</t>
  </si>
  <si>
    <t>- w jednostkach powiązanych</t>
  </si>
  <si>
    <t>IV. Aktualizacja wartości inwestycji</t>
  </si>
  <si>
    <t>V. Inne</t>
  </si>
  <si>
    <t>I. Odsetki w tym:</t>
  </si>
  <si>
    <t>- dla jednostek powiązanych</t>
  </si>
  <si>
    <t>II. Strata z tytułu rozchodu aktywów finansowych, w tym</t>
  </si>
  <si>
    <t>III. Aktualizacja wartości inwestycji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</si>
  <si>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</si>
  <si>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</si>
  <si>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</si>
  <si>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</si>
  <si>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1. Środki trwałe</t>
  </si>
  <si>
    <t>a. Grunty w tym prawa wieczyste</t>
  </si>
  <si>
    <t>b. Budynki, lokale i obiekty</t>
  </si>
  <si>
    <t>c. Urządzenia techniczne i maszyny</t>
  </si>
  <si>
    <t>d. Środki transportu</t>
  </si>
  <si>
    <t>e. Inne środki trwałe</t>
  </si>
  <si>
    <t>2. Środki trwałe w budowie</t>
  </si>
  <si>
    <t>3. Zaliczki na środki trwałe</t>
  </si>
  <si>
    <t>1. Od jednostek powiązanych</t>
  </si>
  <si>
    <t>2. Od pozostałych jednostek, w których jednostka posiada zaangażowanie w kapitale</t>
  </si>
  <si>
    <t>3. Od pozostałych jednostek</t>
  </si>
  <si>
    <t>1. Nieruchomości</t>
  </si>
  <si>
    <t>2. Wartości niematerialne i prawne</t>
  </si>
  <si>
    <t>3. Długoterminowe aktywa finansowe</t>
  </si>
  <si>
    <t>a. W jednostkach powiązanych</t>
  </si>
  <si>
    <t>i. udziały lub akcje</t>
  </si>
  <si>
    <t>ii. inne papiery wartościowe</t>
  </si>
  <si>
    <t>iii. udzielone pożyczki</t>
  </si>
  <si>
    <t>iv. inne długoterminowe aktywa finansowe</t>
  </si>
  <si>
    <t>c. W pozostałych jednostkach</t>
  </si>
  <si>
    <t>4. Inne inwestycje długoterminowe</t>
  </si>
  <si>
    <t>1. Aktywa z tytułu odroczonego podatku dochodow.</t>
  </si>
  <si>
    <t>2. Inne rozliczenia międzyokresowe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</si>
  <si>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</si>
  <si>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</si>
  <si>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</si>
  <si>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</si>
  <si>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</si>
  <si>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</si>
  <si>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</si>
  <si>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</si>
  <si>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a. Z tytułu dostaw i usług w okresie spłaty</t>
  </si>
  <si>
    <t>i. Do 12 miesięcy</t>
  </si>
  <si>
    <t>ii. Powyżej 12 miesięcy</t>
  </si>
  <si>
    <t>b. Inne</t>
  </si>
  <si>
    <t>3. Należności od pozostałych jednostek</t>
  </si>
  <si>
    <t>b. Z tytułu podatków, dotacji, ceł, ZUS</t>
  </si>
  <si>
    <t>c. Inne</t>
  </si>
  <si>
    <t>d. Dochodzone na drodze sądowej</t>
  </si>
  <si>
    <t>III. Inwestycje krótkoterminowe</t>
  </si>
  <si>
    <t>1. Krótkoterminowe aktywa finansowe</t>
  </si>
  <si>
    <t>i. Udziały lub akcje</t>
  </si>
  <si>
    <t>ii. Inne papiery wartościowe</t>
  </si>
  <si>
    <t>iii. Udzielone pożyczki</t>
  </si>
  <si>
    <t>iv. Inne krótkoterminowe aktywa finansowe</t>
  </si>
  <si>
    <t>b. W pozostałych jednostkach</t>
  </si>
  <si>
    <t>c. Środki pieniężne i inne aktywa pieniężne</t>
  </si>
  <si>
    <t>i. Środki pieniężne w kasie i na rachunkach</t>
  </si>
  <si>
    <t>ii. Inne środki pieniężne</t>
  </si>
  <si>
    <t>iii. Inne aktywa pieniężne</t>
  </si>
  <si>
    <t>2. Inne inwestycje krótkoterminowe</t>
  </si>
  <si>
    <t>IV. Krótkoterminowe rozliczenia międzyokresowe</t>
  </si>
  <si>
    <t>I. Kapitał (fundusz) podstawowy</t>
  </si>
  <si>
    <t>II. Kapitał (fundusz) zapasowy, w tym:</t>
  </si>
  <si>
    <t>a. nadwyżka wartości sprzedaży nad wartością nominalną udziałów (akcji)</t>
  </si>
  <si>
    <t>III. Kapitał (fundusz) z aktualizacji wyceny, w tym:</t>
  </si>
  <si>
    <t>a. z tytułu aktualizacji wartości godziwej</t>
  </si>
  <si>
    <t>IV. Pozostałe kapitały (fundusze) rezerwowe, w tym:</t>
  </si>
  <si>
    <t>a. tworzone zgodnie z umową (statutem) spółki</t>
  </si>
  <si>
    <t>b. na udziały (akcje) własne</t>
  </si>
  <si>
    <t>V. Zysk (strata) z lat ubiegłych</t>
  </si>
  <si>
    <t>VI. Zysk (strata) netto</t>
  </si>
  <si>
    <t>VII. Odpisy z zysku netto w ciągu roku obrotowego (wielkość ujemna)</t>
  </si>
  <si>
    <t>I. Rezerwy na zobowiązania</t>
  </si>
  <si>
    <t>1. Rezerwa z tytułu odroczonego podatku doch.</t>
  </si>
  <si>
    <t>2. Rezerwa na świadczenia emerytalne i podobne</t>
  </si>
  <si>
    <t>a. Długoterminowa</t>
  </si>
  <si>
    <t>b. Krótkoterminowa</t>
  </si>
  <si>
    <t>3. Pozostałe rezerwy</t>
  </si>
  <si>
    <t>II. Zobowiązania długoterminowe</t>
  </si>
  <si>
    <t>1. Wobec jednostek powiązanych</t>
  </si>
  <si>
    <t>2. Wobec jednostek powiązanych, w których jedn. posiada zaangażowanie w kapitale</t>
  </si>
  <si>
    <t>3. Wobec pozostałych jednostek</t>
  </si>
  <si>
    <t>a. Kredyty i pożyczki</t>
  </si>
  <si>
    <t>b. Z tytułu emisji dłużnych papierów wartościowych</t>
  </si>
  <si>
    <t>c. Inne zobowiązania finansowe</t>
  </si>
  <si>
    <t>d. Zobowiązania wekslowe</t>
  </si>
  <si>
    <t>e. Inne</t>
  </si>
  <si>
    <t>III. Zobowiązania krótkoterminowe</t>
  </si>
  <si>
    <t>a. Z tytułu dostaw i usług o okresach wymagalności</t>
  </si>
  <si>
    <t>2. Zobowiązania wobec pozostałych jedn., w których jedn. posiada zaangażowanie w kapitale</t>
  </si>
  <si>
    <t>d. Z tytułu dostaw i usług o okresach wymagalności</t>
  </si>
  <si>
    <t>e. Zaliczki otrzymane na dostawy</t>
  </si>
  <si>
    <t>f. Zobowiązania wekslowe</t>
  </si>
  <si>
    <t>g. Z tytułu podatków, ceł, ZUS i innych świadczeń</t>
  </si>
  <si>
    <t>h. Z tytułu wynagrodzeń</t>
  </si>
  <si>
    <t>i. Inne</t>
  </si>
  <si>
    <t>4. Fundusze specjalne</t>
  </si>
  <si>
    <t>IV. Rozliczenia międzyokresowe</t>
  </si>
  <si>
    <t>1. Ujemna wartość firmy</t>
  </si>
  <si>
    <t>a. Długoterminowe</t>
  </si>
  <si>
    <t>b. Krótkoterminowe</t>
  </si>
  <si>
    <t>TABELA NR 3. Dodatkowe informacje o krótkoterminowych rozliczeniach międzyokresowych</t>
  </si>
  <si>
    <t>przeznaczenie finansowania</t>
  </si>
  <si>
    <t>data udzielenia</t>
  </si>
  <si>
    <t>opóźnienie &gt;30 dni</t>
  </si>
  <si>
    <t>zakup samochodu</t>
  </si>
  <si>
    <t>nie</t>
  </si>
  <si>
    <t>remont obiektu hotelowego</t>
  </si>
  <si>
    <t>pożyczka płynościowa</t>
  </si>
  <si>
    <t>tak</t>
  </si>
  <si>
    <t>TABELA NR 1 cz. II. Koszty sfinansowane z dotacji</t>
  </si>
  <si>
    <t>Środki trwałe</t>
  </si>
  <si>
    <t>(daty w formacie rrrr / mm / dd)</t>
  </si>
  <si>
    <t>koszty dotacji na rozwój dz. gospodarczej (OWES itp.)</t>
  </si>
  <si>
    <t>koszty dotacji na prowadzenie dz. statutowej</t>
  </si>
  <si>
    <t>- w których jednostka posiada zaanga. w kapitale</t>
  </si>
  <si>
    <t>b. W pozostałych jednostek, w których jednostka posiada zaangażowanie w kapitale</t>
  </si>
  <si>
    <t>2. Należności od pozostałych jednostkach, w których jednostka posiada zaangażowanie w kapitale</t>
  </si>
  <si>
    <t>Dotacje</t>
  </si>
  <si>
    <t>Fundusze specjalne</t>
  </si>
  <si>
    <t>TABELA NR 4. Kredyty, pożyczki, leasingi - informacje szczegółowe (tabela zawiera przykłady przeznaczenia finansowania)</t>
  </si>
  <si>
    <t>Pieczęć organizacji</t>
  </si>
  <si>
    <t xml:space="preserve">Data sporządzenia dokumentu: </t>
  </si>
  <si>
    <t>Podpisy czytelnie:</t>
  </si>
  <si>
    <t>WNIOSEK O POŻYCZKĘ DLA EKONOMII SPOŁECZNEJ      -      PROGNOZA FINANSOWA</t>
  </si>
  <si>
    <t>drugi kwartał 2025</t>
  </si>
  <si>
    <t>UWAGI</t>
  </si>
  <si>
    <t xml:space="preserve">Należy wykorzystać dane: </t>
  </si>
  <si>
    <t>1Q2025</t>
  </si>
  <si>
    <t>2Q2025</t>
  </si>
  <si>
    <t>3Q2025</t>
  </si>
  <si>
    <t>4Q2025</t>
  </si>
  <si>
    <t>pierwszy kwartał 2025</t>
  </si>
  <si>
    <t>prognostyczne</t>
  </si>
  <si>
    <t>sprawozdawcze</t>
  </si>
  <si>
    <t>trzeci kwartał 2025</t>
  </si>
  <si>
    <t>II. Przychody netto ze sprzedaży towarów</t>
  </si>
  <si>
    <t>czwarty kwartał 2025</t>
  </si>
  <si>
    <t>I. Koszty dotacji</t>
  </si>
  <si>
    <t>II. Inne przychody koszty operacyjne</t>
  </si>
  <si>
    <t>ŚRODKI TRWAŁE I AMORTYZACJA</t>
  </si>
  <si>
    <t>a. kwoty amortyzacji już posiadanych aktywów</t>
  </si>
  <si>
    <t>c. kwoty amortyzacji z tytułu aktywów  z pkt. b.</t>
  </si>
  <si>
    <t>WYDATKI NIE BĘDĄCE KOSZTEM</t>
  </si>
  <si>
    <t>jakiego dotyczy okresu</t>
  </si>
  <si>
    <t>W tabeli zawarto przykłady, należy zmodyfikować treść wg potrzeb lub usunąć, jeśli nie dotyczy.</t>
  </si>
  <si>
    <t>planowane wniesienie kaucji za lokal</t>
  </si>
  <si>
    <t>do końca okresu najmu</t>
  </si>
  <si>
    <t>planowane wadium w przetargu</t>
  </si>
  <si>
    <t xml:space="preserve">6 miesięcy </t>
  </si>
  <si>
    <t>Spłaty kapitału pożyczek i kredytów o harmonogramie innymi niż miesięczny (tzw. spłaty balonowe):</t>
  </si>
  <si>
    <t>finansowanie …</t>
  </si>
  <si>
    <t>POZOSTAŁE INFORMACJE</t>
  </si>
  <si>
    <t>w dniach</t>
  </si>
  <si>
    <t xml:space="preserve">w złotych </t>
  </si>
  <si>
    <t>Przeciętny termin płatności faktur</t>
  </si>
  <si>
    <t>przez klientów działalności odpłatnej</t>
  </si>
  <si>
    <t xml:space="preserve">przez klientów działalności gospodarczej </t>
  </si>
  <si>
    <t xml:space="preserve">wobec dostawców działalności odpłatnej </t>
  </si>
  <si>
    <t xml:space="preserve">wobec dostawców dzialalności gospodarczej </t>
  </si>
  <si>
    <r>
      <t xml:space="preserve">Formularz dla Klientów sporządzających sprawozdanie </t>
    </r>
    <r>
      <rPr>
        <b/>
        <sz val="14"/>
        <color theme="1"/>
        <rFont val="Arial"/>
        <family val="2"/>
        <charset val="238"/>
      </rPr>
      <t>wg wzoru nr 1 do UoR</t>
    </r>
    <r>
      <rPr>
        <b/>
        <sz val="16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w wariancie </t>
    </r>
    <r>
      <rPr>
        <b/>
        <sz val="14"/>
        <color theme="1"/>
        <rFont val="Arial"/>
        <family val="2"/>
        <charset val="238"/>
      </rPr>
      <t>porównawczym.</t>
    </r>
  </si>
  <si>
    <t>I. Dotacje</t>
  </si>
  <si>
    <t>i. refundacje PFRON</t>
  </si>
  <si>
    <t>ii. dotacje OWES i inne dot. dz. gospodarczej</t>
  </si>
  <si>
    <t>iii. dotacje na prowadzenie dz. statutowej / społecznej</t>
  </si>
  <si>
    <t xml:space="preserve">iv. Inne dotacje </t>
  </si>
  <si>
    <t xml:space="preserve">i. koszty z dotacji OWES i innych dot. dz. gosp. </t>
  </si>
  <si>
    <t>ii. koszty z dotacji na dz. statutową / społeczną</t>
  </si>
  <si>
    <t>iii. inne koszty z dotacji</t>
  </si>
  <si>
    <t>a. refundacje PFRON z tytułu zatrudniania niepełnosprawnych</t>
  </si>
  <si>
    <t>b. dotacje na rozwój działalności gospodarczej (OWES itp.)</t>
  </si>
  <si>
    <t>c. dotacje na prowadzenie działalności statutowej</t>
  </si>
  <si>
    <t>d. …</t>
  </si>
  <si>
    <t>e. …</t>
  </si>
  <si>
    <t>f. …</t>
  </si>
  <si>
    <t>Krótkoterminowe rozliczenia międzyokresowe (Aktywa)</t>
  </si>
  <si>
    <t>a. fundusz szkoleniowy</t>
  </si>
  <si>
    <t>b. fundusz reintegracyjny</t>
  </si>
  <si>
    <t>c. fundusz socjalny</t>
  </si>
  <si>
    <t>a. ubezpieczenia</t>
  </si>
  <si>
    <t>b. abonamenty, subskrybcje, prenumeraty, licencje</t>
  </si>
  <si>
    <t>c. czynsze i najmy zapłacone z góry</t>
  </si>
  <si>
    <t>a. przychody zatrzymane na pokrycie amortyzacji</t>
  </si>
  <si>
    <t>b. dotacje przeznaczone na kolejne okresy rozliczeniowe</t>
  </si>
  <si>
    <t>c. …</t>
  </si>
  <si>
    <t>b. za jaką kwotę zostaną zakupione kolejne aktywa?</t>
  </si>
  <si>
    <r>
      <t>Bieżący kwartał to: (</t>
    </r>
    <r>
      <rPr>
        <b/>
        <sz val="10"/>
        <color rgb="FFFF0000"/>
        <rFont val="Arial"/>
        <family val="2"/>
        <charset val="238"/>
      </rPr>
      <t>wybierz z listy</t>
    </r>
    <r>
      <rPr>
        <b/>
        <sz val="10"/>
        <rFont val="Arial"/>
        <family val="2"/>
        <charset val="238"/>
      </rPr>
      <t xml:space="preserve">)  </t>
    </r>
  </si>
  <si>
    <t>K. Pozostałe obowiązkowe zmniejszenia zysku</t>
  </si>
  <si>
    <t>Średni roczny poziom zapasów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</si>
</sst>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yyyy\-mm\-dd;@"/>
    <numFmt numFmtId="166" formatCode="00000000000"/>
  </numFmts>
  <fonts count="35" x14ac:knownFonts="1">
    <font>
      <sz val="11"/>
      <color theme="1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  <charset val="238"/>
    </font>
    <font>
      <sz val="9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Aptos Narrow"/>
      <family val="2"/>
      <charset val="238"/>
      <scheme val="minor"/>
    </font>
    <font>
      <sz val="9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212121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9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FF4FD"/>
        <bgColor indexed="64"/>
      </patternFill>
    </fill>
    <fill>
      <patternFill patternType="solid">
        <fgColor rgb="FFE3F6FD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 applyFill="0" applyProtection="0"/>
    <xf numFmtId="0" fontId="6" fillId="0" borderId="0"/>
    <xf numFmtId="0" fontId="7" fillId="0" borderId="0"/>
    <xf numFmtId="0" fontId="10" fillId="0" borderId="0" applyFill="0" applyProtection="0"/>
    <xf numFmtId="0" fontId="13" fillId="0" borderId="0" applyFill="0" applyProtection="0"/>
    <xf numFmtId="9" fontId="20" fillId="0" borderId="0" applyFont="0" applyFill="0" applyBorder="0" applyAlignment="0" applyProtection="0"/>
    <xf numFmtId="0" fontId="1" fillId="0" borderId="0" applyFill="0" applyProtection="0"/>
  </cellStyleXfs>
  <cellXfs count="326">
    <xf numFmtId="0" fontId="0" fillId="0" borderId="0" xfId="0"/>
    <xf numFmtId="0" fontId="1" fillId="0" borderId="0" xfId="1" applyFill="1" applyProtection="1"/>
    <xf numFmtId="0" fontId="1" fillId="0" borderId="0" xfId="1" applyFill="1" applyAlignment="1" applyProtection="1">
      <alignment horizontal="left"/>
    </xf>
    <xf numFmtId="0" fontId="2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center" vertical="top" wrapText="1"/>
    </xf>
    <xf numFmtId="0" fontId="2" fillId="2" borderId="2" xfId="2" applyFont="1" applyFill="1" applyBorder="1" applyAlignment="1">
      <alignment horizontal="left" vertical="top" wrapText="1"/>
    </xf>
    <xf numFmtId="0" fontId="2" fillId="3" borderId="2" xfId="2" applyFont="1" applyFill="1" applyBorder="1" applyAlignment="1">
      <alignment horizontal="left" vertical="top" wrapText="1"/>
    </xf>
    <xf numFmtId="0" fontId="4" fillId="0" borderId="2" xfId="2" applyFont="1" applyBorder="1" applyAlignment="1">
      <alignment horizontal="left" vertical="top" wrapText="1"/>
    </xf>
    <xf numFmtId="0" fontId="6" fillId="2" borderId="1" xfId="2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2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2" fillId="0" borderId="4" xfId="2" applyFont="1" applyBorder="1" applyAlignment="1">
      <alignment vertical="top" wrapText="1"/>
    </xf>
    <xf numFmtId="0" fontId="4" fillId="0" borderId="4" xfId="2" applyFont="1" applyBorder="1" applyAlignment="1">
      <alignment vertical="top" wrapText="1"/>
    </xf>
    <xf numFmtId="0" fontId="0" fillId="0" borderId="4" xfId="0" applyBorder="1"/>
    <xf numFmtId="0" fontId="5" fillId="0" borderId="2" xfId="2" applyFont="1" applyBorder="1" applyAlignment="1">
      <alignment horizontal="left" vertical="top" wrapText="1"/>
    </xf>
    <xf numFmtId="0" fontId="3" fillId="3" borderId="2" xfId="2" applyFont="1" applyFill="1" applyBorder="1" applyAlignment="1">
      <alignment horizontal="left" vertical="top" wrapText="1"/>
    </xf>
    <xf numFmtId="0" fontId="2" fillId="0" borderId="3" xfId="2" applyFont="1" applyBorder="1" applyAlignment="1">
      <alignment horizontal="right" vertical="top" wrapText="1"/>
    </xf>
    <xf numFmtId="0" fontId="4" fillId="0" borderId="3" xfId="2" applyFont="1" applyBorder="1" applyAlignment="1">
      <alignment horizontal="right" vertical="top" wrapText="1"/>
    </xf>
    <xf numFmtId="0" fontId="6" fillId="2" borderId="5" xfId="2" applyFill="1" applyBorder="1" applyAlignment="1">
      <alignment horizontal="center" vertical="center" wrapText="1"/>
    </xf>
    <xf numFmtId="0" fontId="11" fillId="0" borderId="0" xfId="0" applyFont="1"/>
    <xf numFmtId="0" fontId="12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top" wrapText="1"/>
    </xf>
    <xf numFmtId="0" fontId="8" fillId="3" borderId="2" xfId="2" applyFont="1" applyFill="1" applyBorder="1" applyAlignment="1">
      <alignment horizontal="left" vertical="top" wrapText="1"/>
    </xf>
    <xf numFmtId="0" fontId="9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4" xfId="0" applyFont="1" applyBorder="1"/>
    <xf numFmtId="0" fontId="11" fillId="5" borderId="4" xfId="0" applyFont="1" applyFill="1" applyBorder="1" applyAlignment="1">
      <alignment horizontal="right"/>
    </xf>
    <xf numFmtId="0" fontId="11" fillId="6" borderId="4" xfId="0" applyFont="1" applyFill="1" applyBorder="1"/>
    <xf numFmtId="0" fontId="11" fillId="4" borderId="0" xfId="0" applyFont="1" applyFill="1"/>
    <xf numFmtId="3" fontId="2" fillId="0" borderId="1" xfId="2" applyNumberFormat="1" applyFont="1" applyBorder="1" applyAlignment="1">
      <alignment horizontal="right" vertical="top" wrapText="1"/>
    </xf>
    <xf numFmtId="3" fontId="4" fillId="0" borderId="1" xfId="2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2" fillId="3" borderId="1" xfId="0" applyNumberFormat="1" applyFont="1" applyFill="1" applyBorder="1" applyAlignment="1">
      <alignment horizontal="right" vertical="top" wrapText="1"/>
    </xf>
    <xf numFmtId="0" fontId="0" fillId="5" borderId="0" xfId="0" applyFill="1"/>
    <xf numFmtId="0" fontId="15" fillId="0" borderId="1" xfId="2" applyFont="1" applyBorder="1" applyAlignment="1">
      <alignment horizontal="left" vertical="top" wrapText="1"/>
    </xf>
    <xf numFmtId="0" fontId="14" fillId="2" borderId="2" xfId="2" applyFont="1" applyFill="1" applyBorder="1" applyAlignment="1">
      <alignment horizontal="left" vertical="top" wrapText="1"/>
    </xf>
    <xf numFmtId="0" fontId="14" fillId="3" borderId="2" xfId="2" applyFont="1" applyFill="1" applyBorder="1" applyAlignment="1">
      <alignment horizontal="left" vertical="top" wrapText="1"/>
    </xf>
    <xf numFmtId="0" fontId="15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6" fillId="0" borderId="0" xfId="0" applyFont="1"/>
    <xf numFmtId="0" fontId="17" fillId="0" borderId="6" xfId="0" applyFont="1" applyBorder="1"/>
    <xf numFmtId="0" fontId="16" fillId="0" borderId="7" xfId="0" applyFont="1" applyBorder="1"/>
    <xf numFmtId="0" fontId="16" fillId="0" borderId="8" xfId="0" applyFont="1" applyBorder="1"/>
    <xf numFmtId="0" fontId="16" fillId="0" borderId="9" xfId="0" applyFont="1" applyBorder="1"/>
    <xf numFmtId="0" fontId="16" fillId="0" borderId="4" xfId="0" applyFont="1" applyBorder="1"/>
    <xf numFmtId="0" fontId="16" fillId="0" borderId="11" xfId="0" applyFont="1" applyBorder="1"/>
    <xf numFmtId="0" fontId="16" fillId="0" borderId="9" xfId="0" applyFont="1" applyBorder="1" applyAlignment="1">
      <alignment horizontal="justify" vertical="center"/>
    </xf>
    <xf numFmtId="0" fontId="16" fillId="0" borderId="11" xfId="0" applyFont="1" applyBorder="1" applyAlignment="1">
      <alignment horizontal="justify" vertical="center"/>
    </xf>
    <xf numFmtId="0" fontId="16" fillId="0" borderId="0" xfId="0" applyFont="1" applyAlignment="1">
      <alignment wrapText="1"/>
    </xf>
    <xf numFmtId="0" fontId="18" fillId="2" borderId="1" xfId="2" applyFont="1" applyFill="1" applyBorder="1" applyAlignment="1">
      <alignment horizontal="right" vertical="center" wrapText="1"/>
    </xf>
    <xf numFmtId="3" fontId="18" fillId="2" borderId="1" xfId="2" applyNumberFormat="1" applyFont="1" applyFill="1" applyBorder="1" applyAlignment="1">
      <alignment horizontal="left" vertical="center" wrapText="1"/>
    </xf>
    <xf numFmtId="0" fontId="16" fillId="5" borderId="0" xfId="0" applyFont="1" applyFill="1"/>
    <xf numFmtId="3" fontId="14" fillId="0" borderId="1" xfId="2" applyNumberFormat="1" applyFont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vertical="top" wrapText="1"/>
    </xf>
    <xf numFmtId="3" fontId="15" fillId="0" borderId="1" xfId="2" applyNumberFormat="1" applyFont="1" applyBorder="1" applyAlignment="1">
      <alignment horizontal="right" vertical="top" wrapText="1"/>
    </xf>
    <xf numFmtId="3" fontId="15" fillId="0" borderId="1" xfId="0" applyNumberFormat="1" applyFont="1" applyBorder="1" applyAlignment="1">
      <alignment horizontal="right" vertical="top" wrapText="1"/>
    </xf>
    <xf numFmtId="3" fontId="14" fillId="3" borderId="1" xfId="2" applyNumberFormat="1" applyFont="1" applyFill="1" applyBorder="1" applyAlignment="1">
      <alignment horizontal="right" vertical="top" wrapText="1"/>
    </xf>
    <xf numFmtId="3" fontId="14" fillId="3" borderId="1" xfId="0" applyNumberFormat="1" applyFont="1" applyFill="1" applyBorder="1" applyAlignment="1">
      <alignment horizontal="right" vertical="top" wrapText="1"/>
    </xf>
    <xf numFmtId="3" fontId="16" fillId="2" borderId="1" xfId="0" applyNumberFormat="1" applyFont="1" applyFill="1" applyBorder="1" applyAlignment="1">
      <alignment horizontal="left" vertical="center" wrapText="1"/>
    </xf>
    <xf numFmtId="0" fontId="14" fillId="0" borderId="3" xfId="2" applyFont="1" applyBorder="1" applyAlignment="1">
      <alignment horizontal="right" vertical="top" wrapText="1"/>
    </xf>
    <xf numFmtId="0" fontId="14" fillId="0" borderId="1" xfId="2" applyFont="1" applyBorder="1" applyAlignment="1">
      <alignment horizontal="right" vertical="top" wrapText="1"/>
    </xf>
    <xf numFmtId="0" fontId="14" fillId="0" borderId="4" xfId="2" applyFont="1" applyBorder="1" applyAlignment="1">
      <alignment vertical="top" wrapText="1"/>
    </xf>
    <xf numFmtId="0" fontId="16" fillId="0" borderId="4" xfId="0" applyFont="1" applyBorder="1" applyAlignment="1">
      <alignment horizontal="center"/>
    </xf>
    <xf numFmtId="0" fontId="16" fillId="0" borderId="4" xfId="0" applyFont="1" applyBorder="1" applyAlignment="1">
      <alignment horizontal="left"/>
    </xf>
    <xf numFmtId="0" fontId="15" fillId="0" borderId="3" xfId="2" applyFont="1" applyBorder="1" applyAlignment="1">
      <alignment horizontal="right" vertical="top" wrapText="1"/>
    </xf>
    <xf numFmtId="0" fontId="15" fillId="0" borderId="1" xfId="2" applyFont="1" applyBorder="1" applyAlignment="1">
      <alignment horizontal="right" vertical="top" wrapText="1"/>
    </xf>
    <xf numFmtId="0" fontId="15" fillId="0" borderId="4" xfId="2" applyFont="1" applyBorder="1" applyAlignment="1">
      <alignment vertical="top" wrapText="1"/>
    </xf>
    <xf numFmtId="4" fontId="16" fillId="0" borderId="4" xfId="0" applyNumberFormat="1" applyFont="1" applyBorder="1"/>
    <xf numFmtId="4" fontId="16" fillId="0" borderId="10" xfId="0" applyNumberFormat="1" applyFont="1" applyBorder="1"/>
    <xf numFmtId="4" fontId="16" fillId="0" borderId="12" xfId="0" applyNumberFormat="1" applyFont="1" applyBorder="1"/>
    <xf numFmtId="4" fontId="16" fillId="0" borderId="13" xfId="0" applyNumberFormat="1" applyFont="1" applyBorder="1"/>
    <xf numFmtId="3" fontId="16" fillId="0" borderId="0" xfId="0" applyNumberFormat="1" applyFont="1" applyAlignment="1">
      <alignment horizontal="right"/>
    </xf>
    <xf numFmtId="3" fontId="16" fillId="0" borderId="0" xfId="0" applyNumberFormat="1" applyFont="1"/>
    <xf numFmtId="0" fontId="16" fillId="0" borderId="9" xfId="0" applyFont="1" applyBorder="1" applyAlignment="1">
      <alignment horizontal="left" vertical="center" wrapText="1"/>
    </xf>
    <xf numFmtId="0" fontId="18" fillId="2" borderId="1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3" fontId="2" fillId="3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1" xfId="2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center" vertical="center" wrapText="1"/>
    </xf>
    <xf numFmtId="3" fontId="2" fillId="0" borderId="3" xfId="2" applyNumberFormat="1" applyFont="1" applyBorder="1" applyAlignment="1">
      <alignment horizontal="right" vertical="center" wrapText="1"/>
    </xf>
    <xf numFmtId="3" fontId="2" fillId="0" borderId="1" xfId="2" applyNumberFormat="1" applyFont="1" applyBorder="1" applyAlignment="1">
      <alignment horizontal="right" vertical="center" wrapText="1"/>
    </xf>
    <xf numFmtId="3" fontId="4" fillId="0" borderId="3" xfId="2" applyNumberFormat="1" applyFont="1" applyBorder="1" applyAlignment="1">
      <alignment horizontal="right" vertical="center" wrapText="1"/>
    </xf>
    <xf numFmtId="3" fontId="8" fillId="0" borderId="1" xfId="3" applyNumberFormat="1" applyFont="1" applyBorder="1" applyAlignment="1">
      <alignment horizontal="right" vertical="top" wrapText="1"/>
    </xf>
    <xf numFmtId="3" fontId="9" fillId="0" borderId="1" xfId="3" applyNumberFormat="1" applyFont="1" applyBorder="1" applyAlignment="1">
      <alignment horizontal="right" vertical="top" wrapText="1"/>
    </xf>
    <xf numFmtId="3" fontId="8" fillId="4" borderId="1" xfId="3" applyNumberFormat="1" applyFont="1" applyFill="1" applyBorder="1" applyAlignment="1">
      <alignment horizontal="right" vertical="top" wrapText="1"/>
    </xf>
    <xf numFmtId="3" fontId="14" fillId="0" borderId="0" xfId="3" applyNumberFormat="1" applyFont="1" applyAlignment="1">
      <alignment horizontal="right" vertical="top" wrapText="1"/>
    </xf>
    <xf numFmtId="0" fontId="19" fillId="0" borderId="0" xfId="5" applyFont="1" applyFill="1" applyProtection="1"/>
    <xf numFmtId="0" fontId="19" fillId="0" borderId="0" xfId="0" applyFont="1"/>
    <xf numFmtId="0" fontId="19" fillId="0" borderId="0" xfId="0" applyFont="1" applyAlignment="1">
      <alignment horizontal="right"/>
    </xf>
    <xf numFmtId="3" fontId="15" fillId="0" borderId="0" xfId="3" applyNumberFormat="1" applyFont="1" applyAlignment="1">
      <alignment horizontal="right" vertical="top" wrapText="1"/>
    </xf>
    <xf numFmtId="0" fontId="15" fillId="0" borderId="0" xfId="2" applyFont="1" applyAlignment="1">
      <alignment horizontal="left" vertical="top" wrapText="1"/>
    </xf>
    <xf numFmtId="0" fontId="15" fillId="0" borderId="0" xfId="2" applyFont="1" applyAlignment="1">
      <alignment horizontal="right" vertical="top" wrapText="1"/>
    </xf>
    <xf numFmtId="0" fontId="15" fillId="0" borderId="0" xfId="2" applyFont="1" applyAlignment="1">
      <alignment vertical="top" wrapText="1"/>
    </xf>
    <xf numFmtId="0" fontId="15" fillId="0" borderId="0" xfId="3" applyFont="1" applyAlignment="1">
      <alignment horizontal="right" vertical="top" wrapText="1"/>
    </xf>
    <xf numFmtId="0" fontId="16" fillId="0" borderId="0" xfId="0" applyFont="1" applyAlignment="1">
      <alignment horizontal="left"/>
    </xf>
    <xf numFmtId="0" fontId="18" fillId="0" borderId="0" xfId="3" applyFont="1" applyAlignment="1">
      <alignment horizontal="left" vertical="center" wrapText="1"/>
    </xf>
    <xf numFmtId="0" fontId="19" fillId="8" borderId="0" xfId="5" applyFont="1" applyFill="1" applyProtection="1"/>
    <xf numFmtId="0" fontId="19" fillId="0" borderId="0" xfId="5" applyFont="1" applyFill="1" applyAlignment="1" applyProtection="1">
      <alignment horizontal="right"/>
    </xf>
    <xf numFmtId="0" fontId="19" fillId="7" borderId="0" xfId="5" applyFont="1" applyFill="1" applyProtection="1"/>
    <xf numFmtId="0" fontId="8" fillId="0" borderId="1" xfId="3" applyFont="1" applyBorder="1" applyAlignment="1">
      <alignment horizontal="right" vertical="top" wrapText="1"/>
    </xf>
    <xf numFmtId="0" fontId="15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14" fillId="3" borderId="1" xfId="2" applyFont="1" applyFill="1" applyBorder="1" applyAlignment="1">
      <alignment horizontal="right" vertical="top" wrapText="1"/>
    </xf>
    <xf numFmtId="0" fontId="14" fillId="3" borderId="1" xfId="0" applyFont="1" applyFill="1" applyBorder="1" applyAlignment="1">
      <alignment horizontal="right" vertical="top" wrapText="1"/>
    </xf>
    <xf numFmtId="0" fontId="4" fillId="0" borderId="1" xfId="2" applyFont="1" applyBorder="1" applyAlignment="1">
      <alignment horizontal="right" vertical="center" wrapText="1"/>
    </xf>
    <xf numFmtId="0" fontId="4" fillId="0" borderId="3" xfId="2" applyFont="1" applyBorder="1" applyAlignment="1">
      <alignment horizontal="right" vertical="center" wrapText="1"/>
    </xf>
    <xf numFmtId="0" fontId="2" fillId="0" borderId="3" xfId="2" applyFont="1" applyBorder="1" applyAlignment="1">
      <alignment horizontal="right" vertical="center" wrapText="1"/>
    </xf>
    <xf numFmtId="0" fontId="2" fillId="0" borderId="1" xfId="2" applyFont="1" applyBorder="1" applyAlignment="1">
      <alignment horizontal="right" vertical="center" wrapText="1"/>
    </xf>
    <xf numFmtId="0" fontId="9" fillId="0" borderId="1" xfId="3" applyFont="1" applyBorder="1" applyAlignment="1">
      <alignment horizontal="right" vertical="top" wrapText="1"/>
    </xf>
    <xf numFmtId="0" fontId="17" fillId="5" borderId="0" xfId="0" applyFont="1" applyFill="1"/>
    <xf numFmtId="0" fontId="16" fillId="9" borderId="4" xfId="0" applyFont="1" applyFill="1" applyBorder="1"/>
    <xf numFmtId="10" fontId="16" fillId="0" borderId="4" xfId="0" applyNumberFormat="1" applyFont="1" applyBorder="1"/>
    <xf numFmtId="10" fontId="16" fillId="0" borderId="10" xfId="0" applyNumberFormat="1" applyFont="1" applyBorder="1"/>
    <xf numFmtId="0" fontId="16" fillId="0" borderId="9" xfId="0" applyFont="1" applyBorder="1" applyAlignment="1">
      <alignment wrapText="1"/>
    </xf>
    <xf numFmtId="2" fontId="16" fillId="0" borderId="4" xfId="0" applyNumberFormat="1" applyFont="1" applyBorder="1"/>
    <xf numFmtId="2" fontId="16" fillId="0" borderId="12" xfId="0" applyNumberFormat="1" applyFont="1" applyBorder="1"/>
    <xf numFmtId="10" fontId="16" fillId="0" borderId="4" xfId="6" applyNumberFormat="1" applyFont="1" applyBorder="1"/>
    <xf numFmtId="0" fontId="17" fillId="0" borderId="14" xfId="0" applyFont="1" applyBorder="1"/>
    <xf numFmtId="0" fontId="16" fillId="0" borderId="15" xfId="0" applyFont="1" applyBorder="1"/>
    <xf numFmtId="0" fontId="16" fillId="0" borderId="15" xfId="0" applyFont="1" applyBorder="1" applyAlignment="1">
      <alignment horizontal="justify" vertical="center"/>
    </xf>
    <xf numFmtId="0" fontId="16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justify" vertical="center"/>
    </xf>
    <xf numFmtId="0" fontId="16" fillId="0" borderId="6" xfId="0" applyFont="1" applyBorder="1"/>
    <xf numFmtId="10" fontId="16" fillId="0" borderId="9" xfId="6" applyNumberFormat="1" applyFont="1" applyBorder="1"/>
    <xf numFmtId="10" fontId="16" fillId="0" borderId="10" xfId="6" applyNumberFormat="1" applyFont="1" applyBorder="1"/>
    <xf numFmtId="2" fontId="16" fillId="0" borderId="9" xfId="0" applyNumberFormat="1" applyFont="1" applyBorder="1"/>
    <xf numFmtId="2" fontId="16" fillId="0" borderId="10" xfId="0" applyNumberFormat="1" applyFont="1" applyBorder="1"/>
    <xf numFmtId="2" fontId="16" fillId="0" borderId="11" xfId="0" applyNumberFormat="1" applyFont="1" applyBorder="1"/>
    <xf numFmtId="2" fontId="16" fillId="0" borderId="13" xfId="0" applyNumberFormat="1" applyFont="1" applyBorder="1"/>
    <xf numFmtId="2" fontId="16" fillId="0" borderId="17" xfId="0" applyNumberFormat="1" applyFont="1" applyBorder="1"/>
    <xf numFmtId="2" fontId="16" fillId="0" borderId="18" xfId="0" applyNumberFormat="1" applyFont="1" applyBorder="1"/>
    <xf numFmtId="4" fontId="16" fillId="0" borderId="0" xfId="0" applyNumberFormat="1" applyFont="1"/>
    <xf numFmtId="4" fontId="11" fillId="0" borderId="0" xfId="0" applyNumberFormat="1" applyFont="1"/>
    <xf numFmtId="0" fontId="19" fillId="10" borderId="0" xfId="5" applyFont="1" applyFill="1" applyProtection="1"/>
    <xf numFmtId="0" fontId="19" fillId="11" borderId="0" xfId="5" applyFont="1" applyFill="1" applyProtection="1"/>
    <xf numFmtId="0" fontId="19" fillId="12" borderId="0" xfId="5" applyFont="1" applyFill="1" applyProtection="1"/>
    <xf numFmtId="3" fontId="16" fillId="13" borderId="0" xfId="0" applyNumberFormat="1" applyFont="1" applyFill="1"/>
    <xf numFmtId="3" fontId="15" fillId="13" borderId="0" xfId="3" applyNumberFormat="1" applyFont="1" applyFill="1" applyAlignment="1">
      <alignment horizontal="right" vertical="top" wrapText="1"/>
    </xf>
    <xf numFmtId="9" fontId="16" fillId="0" borderId="4" xfId="6" applyFont="1" applyBorder="1"/>
    <xf numFmtId="9" fontId="16" fillId="0" borderId="9" xfId="6" applyFont="1" applyBorder="1"/>
    <xf numFmtId="0" fontId="19" fillId="14" borderId="0" xfId="5" applyFont="1" applyFill="1" applyProtection="1"/>
    <xf numFmtId="0" fontId="19" fillId="10" borderId="0" xfId="0" applyFont="1" applyFill="1"/>
    <xf numFmtId="0" fontId="0" fillId="10" borderId="4" xfId="0" applyFill="1" applyBorder="1"/>
    <xf numFmtId="0" fontId="19" fillId="15" borderId="0" xfId="0" applyFont="1" applyFill="1"/>
    <xf numFmtId="2" fontId="16" fillId="0" borderId="0" xfId="0" applyNumberFormat="1" applyFont="1"/>
    <xf numFmtId="10" fontId="16" fillId="0" borderId="0" xfId="0" applyNumberFormat="1" applyFont="1"/>
    <xf numFmtId="4" fontId="16" fillId="0" borderId="9" xfId="0" applyNumberFormat="1" applyFont="1" applyBorder="1"/>
    <xf numFmtId="4" fontId="16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164" fontId="16" fillId="0" borderId="0" xfId="0" applyNumberFormat="1" applyFont="1"/>
    <xf numFmtId="9" fontId="16" fillId="0" borderId="10" xfId="6" applyFont="1" applyBorder="1"/>
    <xf numFmtId="9" fontId="16" fillId="0" borderId="17" xfId="6" applyFont="1" applyBorder="1"/>
    <xf numFmtId="10" fontId="16" fillId="0" borderId="0" xfId="6" applyNumberFormat="1" applyFont="1" applyAlignment="1">
      <alignment horizontal="center"/>
    </xf>
    <xf numFmtId="0" fontId="17" fillId="16" borderId="0" xfId="0" applyFont="1" applyFill="1" applyAlignment="1">
      <alignment horizontal="center"/>
    </xf>
    <xf numFmtId="4" fontId="16" fillId="17" borderId="4" xfId="0" applyNumberFormat="1" applyFont="1" applyFill="1" applyBorder="1"/>
    <xf numFmtId="4" fontId="16" fillId="17" borderId="12" xfId="0" applyNumberFormat="1" applyFont="1" applyFill="1" applyBorder="1"/>
    <xf numFmtId="4" fontId="16" fillId="17" borderId="10" xfId="0" applyNumberFormat="1" applyFont="1" applyFill="1" applyBorder="1"/>
    <xf numFmtId="4" fontId="16" fillId="17" borderId="11" xfId="0" applyNumberFormat="1" applyFont="1" applyFill="1" applyBorder="1"/>
    <xf numFmtId="4" fontId="16" fillId="17" borderId="13" xfId="0" applyNumberFormat="1" applyFont="1" applyFill="1" applyBorder="1"/>
    <xf numFmtId="2" fontId="16" fillId="17" borderId="13" xfId="0" applyNumberFormat="1" applyFont="1" applyFill="1" applyBorder="1"/>
    <xf numFmtId="10" fontId="16" fillId="17" borderId="9" xfId="6" applyNumberFormat="1" applyFont="1" applyFill="1" applyBorder="1"/>
    <xf numFmtId="10" fontId="16" fillId="17" borderId="4" xfId="6" applyNumberFormat="1" applyFont="1" applyFill="1" applyBorder="1"/>
    <xf numFmtId="10" fontId="16" fillId="17" borderId="10" xfId="6" applyNumberFormat="1" applyFont="1" applyFill="1" applyBorder="1"/>
    <xf numFmtId="2" fontId="16" fillId="17" borderId="12" xfId="0" applyNumberFormat="1" applyFont="1" applyFill="1" applyBorder="1"/>
    <xf numFmtId="2" fontId="16" fillId="17" borderId="11" xfId="0" applyNumberFormat="1" applyFont="1" applyFill="1" applyBorder="1"/>
    <xf numFmtId="2" fontId="16" fillId="17" borderId="4" xfId="0" applyNumberFormat="1" applyFont="1" applyFill="1" applyBorder="1"/>
    <xf numFmtId="9" fontId="16" fillId="17" borderId="9" xfId="6" applyFont="1" applyFill="1" applyBorder="1"/>
    <xf numFmtId="0" fontId="16" fillId="17" borderId="4" xfId="0" applyFont="1" applyFill="1" applyBorder="1"/>
    <xf numFmtId="0" fontId="16" fillId="17" borderId="10" xfId="0" applyFont="1" applyFill="1" applyBorder="1"/>
    <xf numFmtId="10" fontId="16" fillId="17" borderId="4" xfId="0" applyNumberFormat="1" applyFont="1" applyFill="1" applyBorder="1"/>
    <xf numFmtId="10" fontId="16" fillId="17" borderId="10" xfId="0" applyNumberFormat="1" applyFont="1" applyFill="1" applyBorder="1"/>
    <xf numFmtId="2" fontId="16" fillId="17" borderId="10" xfId="0" applyNumberFormat="1" applyFont="1" applyFill="1" applyBorder="1"/>
    <xf numFmtId="0" fontId="17" fillId="16" borderId="0" xfId="0" applyFont="1" applyFill="1"/>
    <xf numFmtId="0" fontId="23" fillId="16" borderId="0" xfId="0" applyFont="1" applyFill="1" applyAlignment="1">
      <alignment vertical="center" wrapText="1"/>
    </xf>
    <xf numFmtId="0" fontId="23" fillId="16" borderId="0" xfId="0" applyFont="1" applyFill="1" applyAlignment="1">
      <alignment vertical="center"/>
    </xf>
    <xf numFmtId="0" fontId="16" fillId="16" borderId="0" xfId="0" applyFont="1" applyFill="1" applyAlignment="1">
      <alignment horizontal="center"/>
    </xf>
    <xf numFmtId="0" fontId="24" fillId="16" borderId="0" xfId="0" applyFont="1" applyFill="1"/>
    <xf numFmtId="0" fontId="0" fillId="16" borderId="0" xfId="0" applyFill="1" applyAlignment="1">
      <alignment horizontal="center"/>
    </xf>
    <xf numFmtId="0" fontId="21" fillId="16" borderId="0" xfId="0" applyFont="1" applyFill="1"/>
    <xf numFmtId="0" fontId="22" fillId="16" borderId="0" xfId="0" applyFont="1" applyFill="1" applyAlignment="1">
      <alignment horizontal="center"/>
    </xf>
    <xf numFmtId="0" fontId="11" fillId="16" borderId="0" xfId="0" applyFont="1" applyFill="1" applyAlignment="1">
      <alignment horizontal="center"/>
    </xf>
    <xf numFmtId="0" fontId="11" fillId="16" borderId="0" xfId="0" applyFont="1" applyFill="1" applyAlignment="1">
      <alignment horizontal="right"/>
    </xf>
    <xf numFmtId="0" fontId="1" fillId="16" borderId="0" xfId="1" applyFill="1" applyProtection="1"/>
    <xf numFmtId="0" fontId="21" fillId="0" borderId="0" xfId="0" applyFont="1" applyAlignment="1">
      <alignment horizontal="center"/>
    </xf>
    <xf numFmtId="0" fontId="21" fillId="16" borderId="0" xfId="0" applyFont="1" applyFill="1" applyAlignment="1">
      <alignment horizontal="center"/>
    </xf>
    <xf numFmtId="0" fontId="25" fillId="16" borderId="0" xfId="0" applyFont="1" applyFill="1"/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vertical="center"/>
      <protection locked="0"/>
    </xf>
    <xf numFmtId="4" fontId="4" fillId="0" borderId="4" xfId="0" applyNumberFormat="1" applyFont="1" applyBorder="1" applyAlignment="1" applyProtection="1">
      <alignment horizontal="right" vertical="center" wrapText="1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4" fontId="4" fillId="0" borderId="0" xfId="2" applyNumberFormat="1" applyFont="1" applyAlignment="1" applyProtection="1">
      <alignment horizontal="right" vertical="center" wrapText="1"/>
      <protection locked="0"/>
    </xf>
    <xf numFmtId="0" fontId="29" fillId="0" borderId="4" xfId="0" applyFont="1" applyBorder="1" applyAlignment="1" applyProtection="1">
      <alignment horizontal="left" vertical="center" indent="1"/>
      <protection locked="0"/>
    </xf>
    <xf numFmtId="165" fontId="28" fillId="0" borderId="4" xfId="0" applyNumberFormat="1" applyFont="1" applyBorder="1" applyAlignment="1" applyProtection="1">
      <alignment horizontal="right" vertical="center"/>
      <protection locked="0"/>
    </xf>
    <xf numFmtId="10" fontId="28" fillId="0" borderId="4" xfId="0" applyNumberFormat="1" applyFont="1" applyBorder="1" applyAlignment="1" applyProtection="1">
      <alignment horizontal="right" vertical="center"/>
      <protection locked="0"/>
    </xf>
    <xf numFmtId="165" fontId="28" fillId="0" borderId="4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vertical="center"/>
      <protection locked="0"/>
    </xf>
    <xf numFmtId="165" fontId="29" fillId="0" borderId="4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left" vertical="center" indent="1"/>
      <protection locked="0"/>
    </xf>
    <xf numFmtId="165" fontId="29" fillId="0" borderId="0" xfId="0" applyNumberFormat="1" applyFont="1" applyAlignment="1" applyProtection="1">
      <alignment horizontal="righ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10" fontId="28" fillId="0" borderId="0" xfId="0" applyNumberFormat="1" applyFont="1" applyAlignment="1" applyProtection="1">
      <alignment horizontal="right" vertical="center"/>
      <protection locked="0"/>
    </xf>
    <xf numFmtId="165" fontId="16" fillId="0" borderId="4" xfId="0" applyNumberFormat="1" applyFont="1" applyBorder="1" applyAlignment="1" applyProtection="1">
      <alignment horizontal="center" vertical="center"/>
      <protection locked="0"/>
    </xf>
    <xf numFmtId="0" fontId="27" fillId="14" borderId="4" xfId="0" applyFont="1" applyFill="1" applyBorder="1" applyAlignment="1">
      <alignment vertical="center"/>
    </xf>
    <xf numFmtId="4" fontId="4" fillId="19" borderId="4" xfId="2" applyNumberFormat="1" applyFont="1" applyFill="1" applyBorder="1" applyAlignment="1">
      <alignment horizontal="right" vertical="center" wrapText="1"/>
    </xf>
    <xf numFmtId="4" fontId="2" fillId="19" borderId="4" xfId="2" applyNumberFormat="1" applyFont="1" applyFill="1" applyBorder="1" applyAlignment="1">
      <alignment horizontal="right" vertical="center" wrapText="1"/>
    </xf>
    <xf numFmtId="4" fontId="28" fillId="19" borderId="4" xfId="0" applyNumberFormat="1" applyFont="1" applyFill="1" applyBorder="1" applyAlignment="1">
      <alignment horizontal="right" vertical="center"/>
    </xf>
    <xf numFmtId="0" fontId="2" fillId="18" borderId="4" xfId="2" applyFont="1" applyFill="1" applyBorder="1" applyAlignment="1">
      <alignment vertical="center" wrapText="1"/>
    </xf>
    <xf numFmtId="0" fontId="2" fillId="18" borderId="4" xfId="2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1" fontId="27" fillId="14" borderId="4" xfId="0" applyNumberFormat="1" applyFont="1" applyFill="1" applyBorder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16" fillId="0" borderId="4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32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22" xfId="0" applyFont="1" applyBorder="1" applyAlignment="1" applyProtection="1">
      <alignment horizontal="center" vertical="center"/>
      <protection locked="0"/>
    </xf>
    <xf numFmtId="3" fontId="4" fillId="0" borderId="4" xfId="0" applyNumberFormat="1" applyFont="1" applyBorder="1" applyAlignment="1" applyProtection="1">
      <alignment horizontal="right" vertical="center" wrapText="1"/>
      <protection locked="0"/>
    </xf>
    <xf numFmtId="0" fontId="15" fillId="0" borderId="0" xfId="2" applyFont="1" applyAlignment="1" applyProtection="1">
      <alignment horizontal="left" vertical="center" wrapText="1"/>
      <protection locked="0"/>
    </xf>
    <xf numFmtId="3" fontId="15" fillId="0" borderId="0" xfId="2" applyNumberFormat="1" applyFont="1" applyAlignment="1" applyProtection="1">
      <alignment horizontal="right" vertical="center" wrapTex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7" fillId="14" borderId="4" xfId="0" applyFont="1" applyFill="1" applyBorder="1" applyAlignment="1">
      <alignment horizontal="right" vertical="center"/>
    </xf>
    <xf numFmtId="3" fontId="4" fillId="19" borderId="4" xfId="2" applyNumberFormat="1" applyFont="1" applyFill="1" applyBorder="1" applyAlignment="1">
      <alignment horizontal="right" vertical="center" wrapText="1"/>
    </xf>
    <xf numFmtId="3" fontId="4" fillId="19" borderId="4" xfId="0" applyNumberFormat="1" applyFont="1" applyFill="1" applyBorder="1" applyAlignment="1">
      <alignment horizontal="right" vertical="center" wrapText="1"/>
    </xf>
    <xf numFmtId="3" fontId="4" fillId="18" borderId="4" xfId="2" applyNumberFormat="1" applyFont="1" applyFill="1" applyBorder="1" applyAlignment="1">
      <alignment horizontal="right" vertical="center" wrapText="1"/>
    </xf>
    <xf numFmtId="0" fontId="17" fillId="18" borderId="4" xfId="0" applyFont="1" applyFill="1" applyBorder="1" applyAlignment="1">
      <alignment horizontal="right" vertical="center"/>
    </xf>
    <xf numFmtId="0" fontId="17" fillId="18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6" fillId="0" borderId="4" xfId="0" applyFont="1" applyBorder="1" applyAlignment="1" applyProtection="1">
      <alignment horizontal="center" vertical="center"/>
      <protection locked="0"/>
    </xf>
    <xf numFmtId="0" fontId="29" fillId="19" borderId="4" xfId="0" applyFont="1" applyFill="1" applyBorder="1" applyAlignment="1">
      <alignment horizontal="left" vertical="center" indent="1"/>
    </xf>
    <xf numFmtId="0" fontId="29" fillId="19" borderId="19" xfId="0" applyFont="1" applyFill="1" applyBorder="1" applyAlignment="1">
      <alignment horizontal="left" vertical="center" indent="1"/>
    </xf>
    <xf numFmtId="0" fontId="29" fillId="19" borderId="20" xfId="0" applyFont="1" applyFill="1" applyBorder="1" applyAlignment="1">
      <alignment horizontal="left" vertical="center" indent="1"/>
    </xf>
    <xf numFmtId="0" fontId="29" fillId="19" borderId="21" xfId="0" applyFont="1" applyFill="1" applyBorder="1" applyAlignment="1">
      <alignment horizontal="left" vertical="center" indent="1"/>
    </xf>
    <xf numFmtId="0" fontId="28" fillId="0" borderId="0" xfId="0" applyFont="1" applyAlignment="1" applyProtection="1">
      <alignment horizontal="center" vertical="center"/>
      <protection locked="0"/>
    </xf>
    <xf numFmtId="0" fontId="29" fillId="0" borderId="4" xfId="0" applyFont="1" applyBorder="1" applyAlignment="1" applyProtection="1">
      <alignment horizontal="left" vertical="center" indent="1"/>
      <protection locked="0"/>
    </xf>
    <xf numFmtId="0" fontId="31" fillId="0" borderId="0" xfId="0" applyFont="1" applyAlignment="1">
      <alignment horizontal="left" vertical="top" wrapText="1" indent="1"/>
    </xf>
    <xf numFmtId="0" fontId="28" fillId="19" borderId="4" xfId="0" applyFont="1" applyFill="1" applyBorder="1" applyAlignment="1">
      <alignment vertical="center"/>
    </xf>
    <xf numFmtId="0" fontId="31" fillId="0" borderId="0" xfId="0" applyFont="1" applyAlignment="1">
      <alignment horizontal="left" vertical="center" wrapText="1" indent="1"/>
    </xf>
    <xf numFmtId="0" fontId="31" fillId="0" borderId="0" xfId="0" applyFont="1" applyAlignment="1">
      <alignment horizontal="left" vertical="center" indent="1"/>
    </xf>
    <xf numFmtId="0" fontId="31" fillId="0" borderId="0" xfId="0" applyFont="1" applyAlignment="1">
      <alignment horizontal="center" vertical="center"/>
    </xf>
    <xf numFmtId="0" fontId="31" fillId="0" borderId="2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22" xfId="0" applyFont="1" applyBorder="1" applyAlignment="1" applyProtection="1">
      <alignment horizontal="left" vertical="center" indent="1"/>
      <protection locked="0"/>
    </xf>
    <xf numFmtId="0" fontId="31" fillId="0" borderId="0" xfId="0" applyFont="1" applyAlignment="1" applyProtection="1">
      <alignment horizontal="left" vertical="center" indent="1"/>
      <protection locked="0"/>
    </xf>
    <xf numFmtId="0" fontId="2" fillId="14" borderId="4" xfId="2" applyFont="1" applyFill="1" applyBorder="1" applyAlignment="1">
      <alignment vertical="center" wrapText="1"/>
    </xf>
    <xf numFmtId="0" fontId="2" fillId="19" borderId="4" xfId="2" applyFont="1" applyFill="1" applyBorder="1" applyAlignment="1">
      <alignment horizontal="left" vertical="center" wrapText="1"/>
    </xf>
    <xf numFmtId="0" fontId="4" fillId="19" borderId="4" xfId="2" applyFont="1" applyFill="1" applyBorder="1" applyAlignment="1">
      <alignment horizontal="left" vertical="center" wrapText="1" indent="8"/>
    </xf>
    <xf numFmtId="0" fontId="27" fillId="14" borderId="4" xfId="0" applyFont="1" applyFill="1" applyBorder="1" applyAlignment="1">
      <alignment horizontal="left" vertical="center"/>
    </xf>
    <xf numFmtId="0" fontId="4" fillId="19" borderId="4" xfId="2" applyFont="1" applyFill="1" applyBorder="1" applyAlignment="1">
      <alignment horizontal="left" vertical="center" wrapText="1" indent="6"/>
    </xf>
    <xf numFmtId="0" fontId="4" fillId="18" borderId="4" xfId="2" applyFont="1" applyFill="1" applyBorder="1" applyAlignment="1">
      <alignment horizontal="left" vertical="center" wrapText="1" indent="4"/>
    </xf>
    <xf numFmtId="0" fontId="4" fillId="18" borderId="4" xfId="2" applyFont="1" applyFill="1" applyBorder="1" applyAlignment="1">
      <alignment horizontal="left" vertical="center" wrapText="1" indent="6"/>
    </xf>
    <xf numFmtId="0" fontId="4" fillId="18" borderId="4" xfId="2" applyFont="1" applyFill="1" applyBorder="1" applyAlignment="1">
      <alignment horizontal="left" vertical="center" wrapText="1"/>
    </xf>
    <xf numFmtId="0" fontId="4" fillId="18" borderId="4" xfId="2" applyFont="1" applyFill="1" applyBorder="1" applyAlignment="1">
      <alignment horizontal="left" vertical="center" wrapText="1" indent="2"/>
    </xf>
    <xf numFmtId="0" fontId="4" fillId="18" borderId="4" xfId="2" quotePrefix="1" applyFont="1" applyFill="1" applyBorder="1" applyAlignment="1">
      <alignment horizontal="left" vertical="center" wrapText="1" indent="6"/>
    </xf>
    <xf numFmtId="0" fontId="17" fillId="0" borderId="4" xfId="0" applyFont="1" applyBorder="1" applyAlignment="1" applyProtection="1">
      <alignment horizontal="left" vertical="center" wrapText="1"/>
      <protection locked="0"/>
    </xf>
    <xf numFmtId="166" fontId="17" fillId="0" borderId="4" xfId="0" applyNumberFormat="1" applyFont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14" borderId="4" xfId="0" applyFont="1" applyFill="1" applyBorder="1" applyAlignment="1">
      <alignment horizontal="left" vertical="center" wrapText="1"/>
    </xf>
    <xf numFmtId="0" fontId="27" fillId="0" borderId="0" xfId="0" applyFont="1" applyAlignment="1" applyProtection="1">
      <alignment horizontal="left" vertical="center" indent="1"/>
      <protection locked="0"/>
    </xf>
    <xf numFmtId="0" fontId="31" fillId="0" borderId="0" xfId="0" applyFont="1" applyAlignment="1">
      <alignment horizontal="left" vertical="center"/>
    </xf>
    <xf numFmtId="166" fontId="32" fillId="0" borderId="0" xfId="0" applyNumberFormat="1" applyFont="1" applyAlignment="1">
      <alignment horizontal="left" vertical="center" indent="1"/>
    </xf>
    <xf numFmtId="0" fontId="2" fillId="14" borderId="4" xfId="2" applyFont="1" applyFill="1" applyBorder="1" applyAlignment="1">
      <alignment horizontal="left" vertical="center" wrapText="1"/>
    </xf>
    <xf numFmtId="0" fontId="2" fillId="14" borderId="4" xfId="2" applyFont="1" applyFill="1" applyBorder="1" applyAlignment="1">
      <alignment horizontal="center" vertical="center"/>
    </xf>
    <xf numFmtId="0" fontId="31" fillId="0" borderId="22" xfId="0" applyFont="1" applyBorder="1" applyAlignment="1">
      <alignment horizontal="left" vertical="top" wrapText="1" indent="1"/>
    </xf>
    <xf numFmtId="0" fontId="31" fillId="0" borderId="0" xfId="0" applyFont="1" applyAlignment="1" applyProtection="1">
      <alignment horizontal="center" vertical="top" wrapText="1"/>
      <protection locked="0"/>
    </xf>
    <xf numFmtId="0" fontId="2" fillId="0" borderId="0" xfId="2" applyFont="1" applyAlignment="1" applyProtection="1">
      <alignment horizontal="left" vertical="center" wrapText="1"/>
      <protection locked="0"/>
    </xf>
    <xf numFmtId="0" fontId="31" fillId="0" borderId="22" xfId="0" applyFont="1" applyBorder="1" applyAlignment="1">
      <alignment horizontal="left" vertical="center" indent="1"/>
    </xf>
    <xf numFmtId="0" fontId="28" fillId="0" borderId="22" xfId="0" applyFont="1" applyBorder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17" fillId="14" borderId="19" xfId="0" applyFont="1" applyFill="1" applyBorder="1" applyAlignment="1">
      <alignment horizontal="left" vertical="center"/>
    </xf>
    <xf numFmtId="0" fontId="17" fillId="14" borderId="20" xfId="0" applyFont="1" applyFill="1" applyBorder="1" applyAlignment="1">
      <alignment horizontal="left" vertical="center"/>
    </xf>
    <xf numFmtId="0" fontId="17" fillId="14" borderId="21" xfId="0" applyFont="1" applyFill="1" applyBorder="1" applyAlignment="1">
      <alignment horizontal="left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4" fillId="18" borderId="4" xfId="2" applyFont="1" applyFill="1" applyBorder="1" applyAlignment="1">
      <alignment horizontal="left" vertical="center" wrapText="1"/>
    </xf>
    <xf numFmtId="0" fontId="17" fillId="14" borderId="19" xfId="0" applyFont="1" applyFill="1" applyBorder="1" applyAlignment="1">
      <alignment horizontal="left" vertical="center" wrapText="1"/>
    </xf>
    <xf numFmtId="0" fontId="17" fillId="14" borderId="20" xfId="0" applyFont="1" applyFill="1" applyBorder="1" applyAlignment="1">
      <alignment horizontal="left" vertical="center" wrapText="1"/>
    </xf>
    <xf numFmtId="0" fontId="17" fillId="14" borderId="21" xfId="0" applyFont="1" applyFill="1" applyBorder="1" applyAlignment="1">
      <alignment horizontal="left" vertical="center" wrapText="1"/>
    </xf>
    <xf numFmtId="0" fontId="17" fillId="14" borderId="4" xfId="0" applyFont="1" applyFill="1" applyBorder="1" applyAlignment="1">
      <alignment horizontal="left" vertical="center"/>
    </xf>
    <xf numFmtId="0" fontId="17" fillId="14" borderId="4" xfId="0" applyFont="1" applyFill="1" applyBorder="1" applyAlignment="1">
      <alignment horizontal="center" vertical="center"/>
    </xf>
    <xf numFmtId="0" fontId="27" fillId="0" borderId="22" xfId="0" applyFont="1" applyBorder="1" applyAlignment="1" applyProtection="1">
      <alignment horizontal="center" vertical="center"/>
      <protection locked="0"/>
    </xf>
    <xf numFmtId="0" fontId="28" fillId="18" borderId="4" xfId="0" applyFont="1" applyFill="1" applyBorder="1" applyAlignment="1">
      <alignment horizontal="left" vertical="center" indent="2"/>
    </xf>
    <xf numFmtId="0" fontId="28" fillId="18" borderId="4" xfId="0" applyFont="1" applyFill="1" applyBorder="1" applyAlignment="1">
      <alignment horizontal="left" vertical="center" indent="4"/>
    </xf>
    <xf numFmtId="0" fontId="28" fillId="18" borderId="19" xfId="0" applyFont="1" applyFill="1" applyBorder="1" applyAlignment="1">
      <alignment horizontal="left" vertical="center" indent="4"/>
    </xf>
    <xf numFmtId="0" fontId="28" fillId="18" borderId="20" xfId="0" applyFont="1" applyFill="1" applyBorder="1" applyAlignment="1">
      <alignment horizontal="left" vertical="center" indent="4"/>
    </xf>
    <xf numFmtId="0" fontId="28" fillId="18" borderId="21" xfId="0" applyFont="1" applyFill="1" applyBorder="1" applyAlignment="1">
      <alignment horizontal="left" vertical="center" indent="4"/>
    </xf>
    <xf numFmtId="166" fontId="17" fillId="0" borderId="0" xfId="0" applyNumberFormat="1" applyFont="1" applyAlignment="1" applyProtection="1">
      <alignment horizontal="left" vertical="center"/>
      <protection locked="0"/>
    </xf>
    <xf numFmtId="49" fontId="17" fillId="0" borderId="4" xfId="0" applyNumberFormat="1" applyFont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1" fillId="0" borderId="0" xfId="0" applyFont="1" applyAlignment="1">
      <alignment horizontal="center" vertical="top" wrapText="1"/>
    </xf>
    <xf numFmtId="0" fontId="31" fillId="0" borderId="22" xfId="0" applyFont="1" applyBorder="1" applyAlignment="1">
      <alignment horizontal="center" vertical="top" wrapText="1"/>
    </xf>
    <xf numFmtId="0" fontId="28" fillId="0" borderId="0" xfId="0" applyFont="1" applyAlignment="1" applyProtection="1">
      <alignment horizontal="center" vertical="center"/>
    </xf>
    <xf numFmtId="0" fontId="14" fillId="18" borderId="4" xfId="2" applyFont="1" applyFill="1" applyBorder="1" applyAlignment="1">
      <alignment horizontal="center" vertical="center" wrapText="1"/>
    </xf>
    <xf numFmtId="0" fontId="32" fillId="0" borderId="0" xfId="0" applyFont="1" applyAlignment="1" applyProtection="1">
      <alignment horizontal="center" vertical="center"/>
      <protection locked="0"/>
    </xf>
    <xf numFmtId="0" fontId="31" fillId="0" borderId="22" xfId="0" applyFont="1" applyBorder="1" applyAlignment="1" applyProtection="1">
      <alignment horizontal="left" vertical="center" wrapText="1" indent="1"/>
      <protection locked="0"/>
    </xf>
    <xf numFmtId="0" fontId="31" fillId="0" borderId="0" xfId="0" applyFont="1" applyAlignment="1" applyProtection="1">
      <alignment horizontal="left" vertical="center" wrapText="1" indent="1"/>
      <protection locked="0"/>
    </xf>
    <xf numFmtId="0" fontId="28" fillId="18" borderId="4" xfId="0" applyFont="1" applyFill="1" applyBorder="1" applyAlignment="1">
      <alignment horizontal="left" vertical="center" wrapText="1" indent="1"/>
    </xf>
    <xf numFmtId="0" fontId="34" fillId="0" borderId="4" xfId="2" applyFont="1" applyBorder="1" applyAlignment="1" applyProtection="1">
      <alignment horizontal="left" vertical="center" wrapText="1" indent="1"/>
      <protection locked="0"/>
    </xf>
    <xf numFmtId="0" fontId="4" fillId="0" borderId="4" xfId="2" applyFont="1" applyBorder="1" applyAlignment="1" applyProtection="1">
      <alignment horizontal="left" vertical="center" wrapText="1" indent="1"/>
      <protection locked="0"/>
    </xf>
    <xf numFmtId="3" fontId="4" fillId="0" borderId="4" xfId="2" applyNumberFormat="1" applyFont="1" applyBorder="1" applyAlignment="1" applyProtection="1">
      <alignment horizontal="center" vertical="center" wrapText="1"/>
      <protection locked="0"/>
    </xf>
    <xf numFmtId="0" fontId="4" fillId="18" borderId="19" xfId="2" applyFont="1" applyFill="1" applyBorder="1" applyAlignment="1">
      <alignment horizontal="left" vertical="center" wrapText="1"/>
    </xf>
    <xf numFmtId="0" fontId="4" fillId="18" borderId="20" xfId="2" applyFont="1" applyFill="1" applyBorder="1" applyAlignment="1">
      <alignment horizontal="left" vertical="center" wrapText="1"/>
    </xf>
    <xf numFmtId="0" fontId="4" fillId="18" borderId="21" xfId="2" applyFont="1" applyFill="1" applyBorder="1" applyAlignment="1">
      <alignment horizontal="left" vertical="center" wrapText="1"/>
    </xf>
    <xf numFmtId="3" fontId="28" fillId="0" borderId="4" xfId="0" applyNumberFormat="1" applyFont="1" applyBorder="1" applyAlignment="1" applyProtection="1">
      <alignment horizontal="center" vertical="center"/>
      <protection locked="0"/>
    </xf>
    <xf numFmtId="0" fontId="4" fillId="18" borderId="4" xfId="2" applyFont="1" applyFill="1" applyBorder="1" applyAlignment="1">
      <alignment horizontal="center" vertical="center" wrapText="1"/>
    </xf>
    <xf numFmtId="3" fontId="4" fillId="0" borderId="4" xfId="2" applyNumberFormat="1" applyFont="1" applyBorder="1" applyAlignment="1" applyProtection="1">
      <alignment horizontal="center" vertical="center" wrapText="1"/>
      <protection locked="0"/>
    </xf>
    <xf numFmtId="0" fontId="28" fillId="18" borderId="19" xfId="0" applyFont="1" applyFill="1" applyBorder="1" applyAlignment="1">
      <alignment horizontal="left" vertical="center" wrapText="1" indent="1"/>
    </xf>
    <xf numFmtId="0" fontId="28" fillId="18" borderId="20" xfId="0" applyFont="1" applyFill="1" applyBorder="1" applyAlignment="1">
      <alignment horizontal="left" vertical="center" wrapText="1" indent="1"/>
    </xf>
    <xf numFmtId="0" fontId="28" fillId="18" borderId="21" xfId="0" applyFont="1" applyFill="1" applyBorder="1" applyAlignment="1">
      <alignment horizontal="left" vertical="center" wrapText="1" indent="1"/>
    </xf>
    <xf numFmtId="0" fontId="31" fillId="0" borderId="22" xfId="0" applyFont="1" applyBorder="1" applyAlignment="1" applyProtection="1">
      <alignment horizontal="left" vertical="center" wrapText="1" indent="1"/>
    </xf>
    <xf numFmtId="0" fontId="31" fillId="0" borderId="0" xfId="0" applyFont="1" applyAlignment="1" applyProtection="1">
      <alignment horizontal="left" vertical="center" wrapText="1" indent="1"/>
    </xf>
    <xf numFmtId="166" fontId="32" fillId="0" borderId="0" xfId="0" applyNumberFormat="1" applyFont="1" applyAlignment="1" applyProtection="1">
      <alignment horizontal="left" vertical="center" indent="1"/>
    </xf>
  </cellXfs>
  <cellStyles count="8">
    <cellStyle name="Normalny" xfId="0" builtinId="0"/>
    <cellStyle name="Normalny 2" xfId="1" xr:uid="{7AAC0AEA-FBFB-41EC-8286-647A0B65C1C6}"/>
    <cellStyle name="Normalny 3" xfId="2" xr:uid="{4FAE65CC-90BC-4957-AA8E-7EEB5041989D}"/>
    <cellStyle name="Normalny 4" xfId="3" xr:uid="{50BCFB89-0B7D-4F0A-ADDF-981FAE024368}"/>
    <cellStyle name="Normalny 5" xfId="4" xr:uid="{98C4E63A-461F-4795-8840-4238C48653CF}"/>
    <cellStyle name="Normalny 6" xfId="5" xr:uid="{69F03392-F206-45F5-A70F-24888D4AB332}"/>
    <cellStyle name="Normalny 6 2" xfId="7" xr:uid="{32C83E1A-10C6-4546-9209-BE43A551F1FF}"/>
    <cellStyle name="Procentowy" xfId="6" builtinId="5"/>
  </cellStyles>
  <dxfs count="0"/>
  <tableStyles count="0" defaultTableStyle="TableStyleMedium2" defaultPivotStyle="PivotStyleLight16"/>
  <colors>
    <mruColors>
      <color rgb="FFE3F6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174745</xdr:colOff>
      <xdr:row>1</xdr:row>
      <xdr:rowOff>25805</xdr:rowOff>
    </xdr:from>
    <xdr:to>
      <xdr:col>6</xdr:col>
      <xdr:colOff>822486</xdr:colOff>
      <xdr:row>1</xdr:row>
      <xdr:rowOff>530976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2272CAA-F770-4F2A-B202-CD6C556AC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1586" y="372169"/>
          <a:ext cx="647741" cy="505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161578</xdr:colOff>
      <xdr:row>0</xdr:row>
      <xdr:rowOff>174566</xdr:rowOff>
    </xdr:from>
    <xdr:to>
      <xdr:col>11</xdr:col>
      <xdr:colOff>820749</xdr:colOff>
      <xdr:row>1</xdr:row>
      <xdr:rowOff>360043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10AE5C7-5AE9-4577-B6A2-B2AA604C9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4283" y="170756"/>
          <a:ext cx="653456" cy="535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GDALENA CZUCHRYTA" id="{93F253EB-A359-4FFB-A6D8-F87FB62280B1}" userId="S::48521@lazarski.pl::8fec92b9-c48a-4f9a-be0c-0140ccb57b42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91" dT="2025-03-29T17:54:34.04" personId="{93F253EB-A359-4FFB-A6D8-F87FB62280B1}" id="{930CD538-AD08-4E20-851E-5EF250373A64}">
    <text>Sprawozdanie jest mieszaniną wzoru kalkulacyjnego ze wzorem wg zał. nr 6</text>
  </threadedComment>
  <threadedComment ref="I95" dT="2025-03-29T17:36:50.84" personId="{93F253EB-A359-4FFB-A6D8-F87FB62280B1}" id="{4DC79765-3139-449F-A3A8-8ADDAF87974B}">
    <text xml:space="preserve">Prawdopodobnie nieprawidłowość w sporządzeniu sprawozdania finansowego - nie ma przychodów i kosztów. dz. gospodarczej, jest jej wynik, równy co do grosza wynikowi działalności statutowej. </text>
  </threadedComment>
  <threadedComment ref="K126" dT="2025-03-29T18:01:02.99" personId="{93F253EB-A359-4FFB-A6D8-F87FB62280B1}" id="{9A9A70ED-61FD-47BA-AEF8-6FBCF70D69ED}">
    <text xml:space="preserve">kolejna wątpliwość co do poprawności sprawozdania: zysk i zobowiązania są sobie równe co do grosza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CA680-B79F-46FD-A933-BD91FD3E6DE3}">
  <sheetPr>
    <tabColor theme="5" tint="0.79998168889431442"/>
  </sheetPr>
  <dimension ref="A1:L265"/>
  <sheetViews>
    <sheetView zoomScale="110" zoomScaleNormal="110" zoomScaleSheetLayoutView="100" workbookViewId="0">
      <selection activeCell="A7" sqref="A7:C7"/>
    </sheetView>
  </sheetViews>
  <sheetFormatPr defaultColWidth="9.109375" defaultRowHeight="13.2" x14ac:dyDescent="0.3"/>
  <cols>
    <col min="1" max="1" width="25.44140625" style="194" customWidth="1"/>
    <col min="2" max="2" width="10.33203125" style="194" customWidth="1"/>
    <col min="3" max="3" width="11.6640625" style="194" customWidth="1"/>
    <col min="4" max="5" width="12.88671875" style="194" customWidth="1"/>
    <col min="6" max="6" width="12.6640625" style="194" customWidth="1"/>
    <col min="7" max="7" width="13" style="194" customWidth="1"/>
    <col min="8" max="11" width="9.109375" style="194"/>
    <col min="12" max="12" width="9.109375" style="194" hidden="1" customWidth="1"/>
    <col min="13" max="16384" width="9.109375" style="194"/>
  </cols>
  <sheetData>
    <row r="1" spans="1:7" ht="27" customHeight="1" x14ac:dyDescent="0.3">
      <c r="A1" s="269" t="s">
        <v>442</v>
      </c>
      <c r="B1" s="269"/>
      <c r="C1" s="269"/>
      <c r="D1" s="269"/>
      <c r="E1" s="269"/>
      <c r="F1" s="269"/>
      <c r="G1" s="269"/>
    </row>
    <row r="2" spans="1:7" ht="43.2" customHeight="1" x14ac:dyDescent="0.3">
      <c r="A2" s="270" t="s">
        <v>448</v>
      </c>
      <c r="B2" s="270"/>
      <c r="C2" s="270"/>
      <c r="D2" s="270"/>
      <c r="E2" s="270"/>
      <c r="F2" s="270"/>
      <c r="G2" s="270"/>
    </row>
    <row r="3" spans="1:7" ht="7.2" customHeight="1" x14ac:dyDescent="0.3">
      <c r="A3" s="195"/>
      <c r="B3" s="195"/>
      <c r="C3" s="195"/>
      <c r="D3" s="195"/>
      <c r="E3" s="195"/>
      <c r="F3" s="195"/>
      <c r="G3" s="195"/>
    </row>
    <row r="4" spans="1:7" ht="15" customHeight="1" x14ac:dyDescent="0.3">
      <c r="A4" s="271" t="s">
        <v>436</v>
      </c>
      <c r="B4" s="271"/>
      <c r="C4" s="271"/>
      <c r="D4" s="271"/>
      <c r="E4" s="271"/>
      <c r="F4" s="271" t="s">
        <v>441</v>
      </c>
      <c r="G4" s="271"/>
    </row>
    <row r="5" spans="1:7" ht="34.950000000000003" customHeight="1" x14ac:dyDescent="0.3">
      <c r="A5" s="267"/>
      <c r="B5" s="267"/>
      <c r="C5" s="267"/>
      <c r="D5" s="267"/>
      <c r="E5" s="267"/>
      <c r="F5" s="268"/>
      <c r="G5" s="268"/>
    </row>
    <row r="6" spans="1:7" ht="21" customHeight="1" x14ac:dyDescent="0.3">
      <c r="A6" s="273" t="s">
        <v>449</v>
      </c>
      <c r="B6" s="273"/>
      <c r="C6" s="273"/>
      <c r="D6" s="273"/>
      <c r="E6" s="273"/>
      <c r="F6" s="274" t="s">
        <v>450</v>
      </c>
      <c r="G6" s="274"/>
    </row>
    <row r="7" spans="1:7" s="196" customFormat="1" ht="12" customHeight="1" x14ac:dyDescent="0.3">
      <c r="A7" s="260" t="s">
        <v>432</v>
      </c>
      <c r="B7" s="260"/>
      <c r="C7" s="260"/>
      <c r="D7" s="211">
        <v>2023</v>
      </c>
      <c r="E7" s="211">
        <f>D7+1</f>
        <v>2024</v>
      </c>
      <c r="F7" s="246"/>
      <c r="G7" s="246"/>
    </row>
    <row r="8" spans="1:7" s="196" customFormat="1" ht="12" customHeight="1" x14ac:dyDescent="0.3">
      <c r="A8" s="264" t="s">
        <v>213</v>
      </c>
      <c r="B8" s="264"/>
      <c r="C8" s="264"/>
      <c r="D8" s="212">
        <f>SUM(D10:D13)</f>
        <v>0</v>
      </c>
      <c r="E8" s="212">
        <f>SUM(E10:E13)</f>
        <v>0</v>
      </c>
      <c r="F8" s="246"/>
      <c r="G8" s="246"/>
    </row>
    <row r="9" spans="1:7" s="196" customFormat="1" ht="12" customHeight="1" x14ac:dyDescent="0.3">
      <c r="A9" s="265" t="s">
        <v>456</v>
      </c>
      <c r="B9" s="265"/>
      <c r="C9" s="265"/>
      <c r="D9" s="197"/>
      <c r="E9" s="197"/>
      <c r="F9" s="246"/>
      <c r="G9" s="246"/>
    </row>
    <row r="10" spans="1:7" s="196" customFormat="1" ht="12" customHeight="1" x14ac:dyDescent="0.3">
      <c r="A10" s="265" t="s">
        <v>65</v>
      </c>
      <c r="B10" s="265"/>
      <c r="C10" s="265"/>
      <c r="D10" s="197"/>
      <c r="E10" s="197"/>
      <c r="F10" s="246"/>
      <c r="G10" s="246"/>
    </row>
    <row r="11" spans="1:7" s="196" customFormat="1" ht="12" customHeight="1" x14ac:dyDescent="0.3">
      <c r="A11" s="265" t="s">
        <v>457</v>
      </c>
      <c r="B11" s="265"/>
      <c r="C11" s="265"/>
      <c r="D11" s="197"/>
      <c r="E11" s="197"/>
      <c r="F11" s="246"/>
      <c r="G11" s="246"/>
    </row>
    <row r="12" spans="1:7" s="196" customFormat="1" ht="12" customHeight="1" x14ac:dyDescent="0.3">
      <c r="A12" s="265" t="s">
        <v>458</v>
      </c>
      <c r="B12" s="265"/>
      <c r="C12" s="265"/>
      <c r="D12" s="197"/>
      <c r="E12" s="197"/>
      <c r="F12" s="246"/>
      <c r="G12" s="246"/>
    </row>
    <row r="13" spans="1:7" s="196" customFormat="1" ht="12" customHeight="1" x14ac:dyDescent="0.3">
      <c r="A13" s="265" t="s">
        <v>459</v>
      </c>
      <c r="B13" s="265"/>
      <c r="C13" s="265"/>
      <c r="D13" s="197"/>
      <c r="E13" s="197"/>
      <c r="F13" s="246"/>
      <c r="G13" s="246"/>
    </row>
    <row r="14" spans="1:7" s="196" customFormat="1" ht="12" customHeight="1" x14ac:dyDescent="0.3">
      <c r="A14" s="264" t="s">
        <v>219</v>
      </c>
      <c r="B14" s="264"/>
      <c r="C14" s="264"/>
      <c r="D14" s="212">
        <f>D15+D16+D17+D18+D20+D21+D23+D24</f>
        <v>0</v>
      </c>
      <c r="E14" s="212">
        <f>E15+E16+E17+E18+E20+E21+E23+E24</f>
        <v>0</v>
      </c>
      <c r="F14" s="246"/>
      <c r="G14" s="246"/>
    </row>
    <row r="15" spans="1:7" s="196" customFormat="1" ht="12" customHeight="1" x14ac:dyDescent="0.3">
      <c r="A15" s="265" t="s">
        <v>460</v>
      </c>
      <c r="B15" s="265"/>
      <c r="C15" s="265"/>
      <c r="D15" s="197"/>
      <c r="E15" s="197"/>
      <c r="F15" s="246"/>
      <c r="G15" s="246"/>
    </row>
    <row r="16" spans="1:7" s="196" customFormat="1" ht="12" customHeight="1" x14ac:dyDescent="0.3">
      <c r="A16" s="265" t="s">
        <v>461</v>
      </c>
      <c r="B16" s="265"/>
      <c r="C16" s="265"/>
      <c r="D16" s="197"/>
      <c r="E16" s="197"/>
      <c r="F16" s="246"/>
      <c r="G16" s="246"/>
    </row>
    <row r="17" spans="1:7" s="196" customFormat="1" ht="12" customHeight="1" x14ac:dyDescent="0.3">
      <c r="A17" s="265" t="s">
        <v>462</v>
      </c>
      <c r="B17" s="265"/>
      <c r="C17" s="265"/>
      <c r="D17" s="197"/>
      <c r="E17" s="197"/>
      <c r="F17" s="246"/>
      <c r="G17" s="246"/>
    </row>
    <row r="18" spans="1:7" s="196" customFormat="1" ht="12" customHeight="1" x14ac:dyDescent="0.3">
      <c r="A18" s="265" t="s">
        <v>463</v>
      </c>
      <c r="B18" s="265"/>
      <c r="C18" s="265"/>
      <c r="D18" s="197"/>
      <c r="E18" s="197"/>
      <c r="F18" s="246"/>
      <c r="G18" s="246"/>
    </row>
    <row r="19" spans="1:7" s="196" customFormat="1" ht="12" customHeight="1" x14ac:dyDescent="0.3">
      <c r="A19" s="262" t="s">
        <v>464</v>
      </c>
      <c r="B19" s="262"/>
      <c r="C19" s="262"/>
      <c r="D19" s="197"/>
      <c r="E19" s="197"/>
      <c r="F19" s="246"/>
      <c r="G19" s="246"/>
    </row>
    <row r="20" spans="1:7" s="196" customFormat="1" ht="12" customHeight="1" x14ac:dyDescent="0.3">
      <c r="A20" s="265" t="s">
        <v>465</v>
      </c>
      <c r="B20" s="265"/>
      <c r="C20" s="265"/>
      <c r="D20" s="197"/>
      <c r="E20" s="197"/>
      <c r="F20" s="246"/>
      <c r="G20" s="246"/>
    </row>
    <row r="21" spans="1:7" s="196" customFormat="1" ht="12" customHeight="1" x14ac:dyDescent="0.3">
      <c r="A21" s="265" t="s">
        <v>466</v>
      </c>
      <c r="B21" s="265"/>
      <c r="C21" s="265"/>
      <c r="D21" s="197"/>
      <c r="E21" s="197"/>
      <c r="F21" s="246"/>
      <c r="G21" s="246"/>
    </row>
    <row r="22" spans="1:7" s="196" customFormat="1" ht="12" customHeight="1" x14ac:dyDescent="0.3">
      <c r="A22" s="262" t="s">
        <v>467</v>
      </c>
      <c r="B22" s="262"/>
      <c r="C22" s="262"/>
      <c r="D22" s="197"/>
      <c r="E22" s="197"/>
      <c r="F22" s="246"/>
      <c r="G22" s="246"/>
    </row>
    <row r="23" spans="1:7" s="196" customFormat="1" ht="12" customHeight="1" x14ac:dyDescent="0.3">
      <c r="A23" s="265" t="s">
        <v>468</v>
      </c>
      <c r="B23" s="265"/>
      <c r="C23" s="265"/>
      <c r="D23" s="197"/>
      <c r="E23" s="197"/>
      <c r="F23" s="246"/>
      <c r="G23" s="246"/>
    </row>
    <row r="24" spans="1:7" s="196" customFormat="1" ht="12" customHeight="1" x14ac:dyDescent="0.3">
      <c r="A24" s="265" t="s">
        <v>469</v>
      </c>
      <c r="B24" s="265"/>
      <c r="C24" s="265"/>
      <c r="D24" s="197"/>
      <c r="E24" s="197"/>
      <c r="F24" s="246"/>
      <c r="G24" s="246"/>
    </row>
    <row r="25" spans="1:7" s="196" customFormat="1" ht="12" customHeight="1" x14ac:dyDescent="0.3">
      <c r="A25" s="264" t="s">
        <v>230</v>
      </c>
      <c r="B25" s="264"/>
      <c r="C25" s="264"/>
      <c r="D25" s="212">
        <f>D8-D14</f>
        <v>0</v>
      </c>
      <c r="E25" s="212">
        <f>E8-E14</f>
        <v>0</v>
      </c>
      <c r="F25" s="246"/>
      <c r="G25" s="246"/>
    </row>
    <row r="26" spans="1:7" s="196" customFormat="1" ht="12" customHeight="1" x14ac:dyDescent="0.3">
      <c r="A26" s="264" t="s">
        <v>231</v>
      </c>
      <c r="B26" s="264"/>
      <c r="C26" s="264"/>
      <c r="D26" s="212">
        <f>SUM(D27:D30)</f>
        <v>0</v>
      </c>
      <c r="E26" s="212">
        <f>SUM(E27:E30)</f>
        <v>0</v>
      </c>
      <c r="F26" s="246"/>
      <c r="G26" s="246"/>
    </row>
    <row r="27" spans="1:7" s="196" customFormat="1" ht="12" customHeight="1" x14ac:dyDescent="0.3">
      <c r="A27" s="265" t="s">
        <v>470</v>
      </c>
      <c r="B27" s="265"/>
      <c r="C27" s="265"/>
      <c r="D27" s="197"/>
      <c r="E27" s="197"/>
      <c r="F27" s="246"/>
      <c r="G27" s="246"/>
    </row>
    <row r="28" spans="1:7" s="196" customFormat="1" ht="12" customHeight="1" x14ac:dyDescent="0.3">
      <c r="A28" s="265" t="s">
        <v>50</v>
      </c>
      <c r="B28" s="265"/>
      <c r="C28" s="265"/>
      <c r="D28" s="197"/>
      <c r="E28" s="197"/>
      <c r="F28" s="251" t="str">
        <f>IF(OR(D28&gt;0,E28&gt;0),"prosimy wypełnić tabelę nr 1", " ")</f>
        <v xml:space="preserve"> </v>
      </c>
      <c r="G28" s="251"/>
    </row>
    <row r="29" spans="1:7" s="196" customFormat="1" ht="12" customHeight="1" x14ac:dyDescent="0.3">
      <c r="A29" s="265" t="s">
        <v>471</v>
      </c>
      <c r="B29" s="265"/>
      <c r="C29" s="265"/>
      <c r="D29" s="197"/>
      <c r="E29" s="197"/>
      <c r="F29" s="246"/>
      <c r="G29" s="246"/>
    </row>
    <row r="30" spans="1:7" s="196" customFormat="1" ht="12" customHeight="1" x14ac:dyDescent="0.3">
      <c r="A30" s="265" t="s">
        <v>51</v>
      </c>
      <c r="B30" s="265"/>
      <c r="C30" s="265"/>
      <c r="D30" s="197"/>
      <c r="E30" s="197"/>
      <c r="F30" s="246"/>
      <c r="G30" s="246"/>
    </row>
    <row r="31" spans="1:7" s="196" customFormat="1" ht="12" customHeight="1" x14ac:dyDescent="0.3">
      <c r="A31" s="264" t="s">
        <v>236</v>
      </c>
      <c r="B31" s="264"/>
      <c r="C31" s="264"/>
      <c r="D31" s="212">
        <f>SUM(D32:D34)</f>
        <v>0</v>
      </c>
      <c r="E31" s="212">
        <f>SUM(E32:E34)</f>
        <v>0</v>
      </c>
      <c r="F31" s="246"/>
      <c r="G31" s="246"/>
    </row>
    <row r="32" spans="1:7" s="196" customFormat="1" ht="12" customHeight="1" x14ac:dyDescent="0.3">
      <c r="A32" s="265" t="s">
        <v>76</v>
      </c>
      <c r="B32" s="265"/>
      <c r="C32" s="265"/>
      <c r="D32" s="197"/>
      <c r="E32" s="197"/>
      <c r="F32" s="246"/>
      <c r="G32" s="246"/>
    </row>
    <row r="33" spans="1:7" s="196" customFormat="1" ht="12" customHeight="1" x14ac:dyDescent="0.3">
      <c r="A33" s="265" t="s">
        <v>77</v>
      </c>
      <c r="B33" s="265"/>
      <c r="C33" s="265"/>
      <c r="D33" s="197"/>
      <c r="E33" s="197"/>
      <c r="F33" s="246"/>
      <c r="G33" s="246"/>
    </row>
    <row r="34" spans="1:7" s="196" customFormat="1" ht="12" customHeight="1" x14ac:dyDescent="0.3">
      <c r="A34" s="265" t="s">
        <v>54</v>
      </c>
      <c r="B34" s="265"/>
      <c r="C34" s="265"/>
      <c r="D34" s="197"/>
      <c r="E34" s="197"/>
      <c r="F34" s="246"/>
      <c r="G34" s="246"/>
    </row>
    <row r="35" spans="1:7" s="196" customFormat="1" ht="12" customHeight="1" x14ac:dyDescent="0.3">
      <c r="A35" s="264" t="s">
        <v>240</v>
      </c>
      <c r="B35" s="264"/>
      <c r="C35" s="264"/>
      <c r="D35" s="212">
        <f>D25+D26-D31</f>
        <v>0</v>
      </c>
      <c r="E35" s="212">
        <f>E25+E26-E31</f>
        <v>0</v>
      </c>
      <c r="F35" s="246"/>
      <c r="G35" s="246"/>
    </row>
    <row r="36" spans="1:7" s="196" customFormat="1" ht="12" customHeight="1" x14ac:dyDescent="0.3">
      <c r="A36" s="264" t="s">
        <v>445</v>
      </c>
      <c r="B36" s="264"/>
      <c r="C36" s="264"/>
      <c r="D36" s="212">
        <f>D37+D42+D44+D46+D47</f>
        <v>0</v>
      </c>
      <c r="E36" s="212">
        <f>E37+E42+E44+E46+E47</f>
        <v>0</v>
      </c>
      <c r="F36" s="246"/>
      <c r="G36" s="246"/>
    </row>
    <row r="37" spans="1:7" s="196" customFormat="1" ht="12" customHeight="1" x14ac:dyDescent="0.3">
      <c r="A37" s="265" t="s">
        <v>81</v>
      </c>
      <c r="B37" s="265"/>
      <c r="C37" s="265"/>
      <c r="D37" s="197"/>
      <c r="E37" s="197"/>
      <c r="F37" s="246"/>
      <c r="G37" s="246"/>
    </row>
    <row r="38" spans="1:7" s="196" customFormat="1" ht="12" customHeight="1" x14ac:dyDescent="0.3">
      <c r="A38" s="262" t="s">
        <v>472</v>
      </c>
      <c r="B38" s="262"/>
      <c r="C38" s="262"/>
      <c r="D38" s="197"/>
      <c r="E38" s="197"/>
      <c r="F38" s="246"/>
      <c r="G38" s="246"/>
    </row>
    <row r="39" spans="1:7" s="196" customFormat="1" ht="12" customHeight="1" x14ac:dyDescent="0.3">
      <c r="A39" s="266" t="s">
        <v>593</v>
      </c>
      <c r="B39" s="263"/>
      <c r="C39" s="263"/>
      <c r="D39" s="197"/>
      <c r="E39" s="197"/>
      <c r="F39" s="246"/>
      <c r="G39" s="246"/>
    </row>
    <row r="40" spans="1:7" s="196" customFormat="1" ht="12" customHeight="1" x14ac:dyDescent="0.3">
      <c r="A40" s="262" t="s">
        <v>473</v>
      </c>
      <c r="B40" s="262"/>
      <c r="C40" s="262"/>
      <c r="D40" s="197"/>
      <c r="E40" s="197"/>
      <c r="F40" s="246"/>
      <c r="G40" s="246"/>
    </row>
    <row r="41" spans="1:7" s="196" customFormat="1" ht="12" customHeight="1" x14ac:dyDescent="0.3">
      <c r="A41" s="266" t="s">
        <v>593</v>
      </c>
      <c r="B41" s="263"/>
      <c r="C41" s="263"/>
      <c r="D41" s="197"/>
      <c r="E41" s="197"/>
      <c r="F41" s="246"/>
      <c r="G41" s="246"/>
    </row>
    <row r="42" spans="1:7" s="196" customFormat="1" ht="12" customHeight="1" x14ac:dyDescent="0.3">
      <c r="A42" s="265" t="s">
        <v>474</v>
      </c>
      <c r="B42" s="265"/>
      <c r="C42" s="265"/>
      <c r="D42" s="197"/>
      <c r="E42" s="197"/>
      <c r="F42" s="246"/>
      <c r="G42" s="246"/>
    </row>
    <row r="43" spans="1:7" s="196" customFormat="1" ht="12" customHeight="1" x14ac:dyDescent="0.3">
      <c r="A43" s="262" t="s">
        <v>456</v>
      </c>
      <c r="B43" s="262"/>
      <c r="C43" s="262"/>
      <c r="D43" s="197"/>
      <c r="E43" s="197"/>
      <c r="F43" s="246"/>
      <c r="G43" s="246"/>
    </row>
    <row r="44" spans="1:7" s="196" customFormat="1" ht="12" customHeight="1" x14ac:dyDescent="0.3">
      <c r="A44" s="265" t="s">
        <v>475</v>
      </c>
      <c r="B44" s="265"/>
      <c r="C44" s="265"/>
      <c r="D44" s="197"/>
      <c r="E44" s="197"/>
      <c r="F44" s="246"/>
      <c r="G44" s="246"/>
    </row>
    <row r="45" spans="1:7" s="196" customFormat="1" ht="12" customHeight="1" x14ac:dyDescent="0.3">
      <c r="A45" s="262" t="s">
        <v>476</v>
      </c>
      <c r="B45" s="262"/>
      <c r="C45" s="262"/>
      <c r="D45" s="197"/>
      <c r="E45" s="197"/>
      <c r="F45" s="246"/>
      <c r="G45" s="246"/>
    </row>
    <row r="46" spans="1:7" s="196" customFormat="1" ht="12" customHeight="1" x14ac:dyDescent="0.3">
      <c r="A46" s="265" t="s">
        <v>477</v>
      </c>
      <c r="B46" s="265"/>
      <c r="C46" s="265"/>
      <c r="D46" s="197"/>
      <c r="E46" s="197"/>
      <c r="F46" s="246"/>
      <c r="G46" s="246"/>
    </row>
    <row r="47" spans="1:7" s="196" customFormat="1" ht="12" customHeight="1" x14ac:dyDescent="0.3">
      <c r="A47" s="265" t="s">
        <v>478</v>
      </c>
      <c r="B47" s="265"/>
      <c r="C47" s="265"/>
      <c r="D47" s="197"/>
      <c r="E47" s="197"/>
      <c r="F47" s="246"/>
      <c r="G47" s="246"/>
    </row>
    <row r="48" spans="1:7" s="196" customFormat="1" ht="12" customHeight="1" x14ac:dyDescent="0.3">
      <c r="A48" s="264" t="s">
        <v>252</v>
      </c>
      <c r="B48" s="264"/>
      <c r="C48" s="264"/>
      <c r="D48" s="212">
        <f>D49+D51+D53+D54</f>
        <v>0</v>
      </c>
      <c r="E48" s="212">
        <f>E49+E51+E53+E54</f>
        <v>0</v>
      </c>
      <c r="F48" s="246"/>
      <c r="G48" s="246"/>
    </row>
    <row r="49" spans="1:7" s="196" customFormat="1" ht="12" customHeight="1" x14ac:dyDescent="0.3">
      <c r="A49" s="265" t="s">
        <v>479</v>
      </c>
      <c r="B49" s="265"/>
      <c r="C49" s="265"/>
      <c r="D49" s="197"/>
      <c r="E49" s="197"/>
      <c r="F49" s="246"/>
      <c r="G49" s="246"/>
    </row>
    <row r="50" spans="1:7" s="196" customFormat="1" ht="12" customHeight="1" x14ac:dyDescent="0.3">
      <c r="A50" s="262" t="s">
        <v>480</v>
      </c>
      <c r="B50" s="262"/>
      <c r="C50" s="262"/>
      <c r="D50" s="197"/>
      <c r="E50" s="197"/>
      <c r="F50" s="246"/>
      <c r="G50" s="246"/>
    </row>
    <row r="51" spans="1:7" s="196" customFormat="1" ht="12" customHeight="1" x14ac:dyDescent="0.3">
      <c r="A51" s="265" t="s">
        <v>481</v>
      </c>
      <c r="B51" s="265"/>
      <c r="C51" s="265"/>
      <c r="D51" s="197"/>
      <c r="E51" s="197"/>
      <c r="F51" s="246"/>
      <c r="G51" s="246"/>
    </row>
    <row r="52" spans="1:7" s="196" customFormat="1" ht="12" customHeight="1" x14ac:dyDescent="0.3">
      <c r="A52" s="262" t="s">
        <v>476</v>
      </c>
      <c r="B52" s="262"/>
      <c r="C52" s="262"/>
      <c r="D52" s="197"/>
      <c r="E52" s="197"/>
      <c r="F52" s="246"/>
      <c r="G52" s="246"/>
    </row>
    <row r="53" spans="1:7" s="196" customFormat="1" ht="12" customHeight="1" x14ac:dyDescent="0.3">
      <c r="A53" s="265" t="s">
        <v>482</v>
      </c>
      <c r="B53" s="265"/>
      <c r="C53" s="265"/>
      <c r="D53" s="197"/>
      <c r="E53" s="197"/>
      <c r="F53" s="246"/>
      <c r="G53" s="246"/>
    </row>
    <row r="54" spans="1:7" s="196" customFormat="1" ht="12" customHeight="1" x14ac:dyDescent="0.3">
      <c r="A54" s="265" t="s">
        <v>59</v>
      </c>
      <c r="B54" s="265"/>
      <c r="C54" s="265"/>
      <c r="D54" s="197"/>
      <c r="E54" s="197"/>
      <c r="F54" s="246"/>
      <c r="G54" s="246"/>
    </row>
    <row r="55" spans="1:7" s="196" customFormat="1" ht="12" customHeight="1" x14ac:dyDescent="0.3">
      <c r="A55" s="264" t="s">
        <v>428</v>
      </c>
      <c r="B55" s="264"/>
      <c r="C55" s="264"/>
      <c r="D55" s="212">
        <f>D35+D36-D48</f>
        <v>0</v>
      </c>
      <c r="E55" s="212">
        <f>E35+E36-E48</f>
        <v>0</v>
      </c>
      <c r="F55" s="246"/>
      <c r="G55" s="246"/>
    </row>
    <row r="56" spans="1:7" s="196" customFormat="1" ht="12" customHeight="1" x14ac:dyDescent="0.3">
      <c r="A56" s="264" t="s">
        <v>446</v>
      </c>
      <c r="B56" s="264"/>
      <c r="C56" s="264"/>
      <c r="D56" s="197"/>
      <c r="E56" s="197"/>
      <c r="F56" s="246"/>
      <c r="G56" s="246"/>
    </row>
    <row r="57" spans="1:7" s="196" customFormat="1" ht="24" customHeight="1" x14ac:dyDescent="0.3">
      <c r="A57" s="264" t="s">
        <v>447</v>
      </c>
      <c r="B57" s="264"/>
      <c r="C57" s="264"/>
      <c r="D57" s="197"/>
      <c r="E57" s="197"/>
      <c r="F57" s="246"/>
      <c r="G57" s="246"/>
    </row>
    <row r="58" spans="1:7" s="196" customFormat="1" ht="12" customHeight="1" x14ac:dyDescent="0.3">
      <c r="A58" s="264" t="s">
        <v>429</v>
      </c>
      <c r="B58" s="264"/>
      <c r="C58" s="264"/>
      <c r="D58" s="212">
        <f>D55-D56-D57</f>
        <v>0</v>
      </c>
      <c r="E58" s="212">
        <f>E55-E56-E57</f>
        <v>0</v>
      </c>
      <c r="F58" s="246"/>
      <c r="G58" s="246"/>
    </row>
    <row r="59" spans="1:7" s="196" customFormat="1" ht="12" customHeight="1" x14ac:dyDescent="0.3">
      <c r="A59" s="198"/>
      <c r="B59" s="198"/>
      <c r="C59" s="198"/>
      <c r="D59" s="199"/>
      <c r="E59" s="199"/>
      <c r="F59" s="246"/>
      <c r="G59" s="246"/>
    </row>
    <row r="60" spans="1:7" s="196" customFormat="1" ht="12" customHeight="1" x14ac:dyDescent="0.3">
      <c r="A60" s="260" t="s">
        <v>380</v>
      </c>
      <c r="B60" s="260"/>
      <c r="C60" s="260"/>
      <c r="D60" s="218">
        <f>$D$7</f>
        <v>2023</v>
      </c>
      <c r="E60" s="218">
        <f>$E$7</f>
        <v>2024</v>
      </c>
      <c r="F60" s="272"/>
      <c r="G60" s="272"/>
    </row>
    <row r="61" spans="1:7" s="196" customFormat="1" ht="12" customHeight="1" x14ac:dyDescent="0.3">
      <c r="A61" s="264" t="s">
        <v>102</v>
      </c>
      <c r="B61" s="264"/>
      <c r="C61" s="264"/>
      <c r="D61" s="212">
        <f>D62+D67+D76+D80+D100</f>
        <v>0</v>
      </c>
      <c r="E61" s="212">
        <f>E62+E67+E76+E80+E100</f>
        <v>0</v>
      </c>
      <c r="F61" s="273" t="str">
        <f>IF(OR(D63&gt;0,E63&gt;0,D64&gt;0,E64&gt;0,D65&gt;0,E65&gt;0,D70&gt;0,E70&gt;0,D71&gt;0,E71&gt;0,D72&gt;0,E72&gt;0,D73&gt;0,E73&gt;0),"prosimy wypełnić tabelę nr 2", " ")</f>
        <v xml:space="preserve"> </v>
      </c>
      <c r="G61" s="273"/>
    </row>
    <row r="62" spans="1:7" s="196" customFormat="1" ht="12" customHeight="1" x14ac:dyDescent="0.3">
      <c r="A62" s="265" t="s">
        <v>430</v>
      </c>
      <c r="B62" s="265"/>
      <c r="C62" s="265"/>
      <c r="D62" s="197"/>
      <c r="E62" s="197"/>
      <c r="F62" s="246"/>
      <c r="G62" s="246"/>
    </row>
    <row r="63" spans="1:7" s="196" customFormat="1" ht="12" customHeight="1" x14ac:dyDescent="0.3">
      <c r="A63" s="262" t="s">
        <v>483</v>
      </c>
      <c r="B63" s="262"/>
      <c r="C63" s="262"/>
      <c r="D63" s="197"/>
      <c r="E63" s="197"/>
      <c r="F63" s="246"/>
      <c r="G63" s="246"/>
    </row>
    <row r="64" spans="1:7" s="196" customFormat="1" ht="12" customHeight="1" x14ac:dyDescent="0.3">
      <c r="A64" s="262" t="s">
        <v>484</v>
      </c>
      <c r="B64" s="262"/>
      <c r="C64" s="262"/>
      <c r="D64" s="197"/>
      <c r="E64" s="197"/>
      <c r="F64" s="246"/>
      <c r="G64" s="246"/>
    </row>
    <row r="65" spans="1:7" s="196" customFormat="1" ht="12" customHeight="1" x14ac:dyDescent="0.3">
      <c r="A65" s="262" t="s">
        <v>485</v>
      </c>
      <c r="B65" s="262"/>
      <c r="C65" s="262"/>
      <c r="D65" s="197"/>
      <c r="E65" s="197"/>
      <c r="F65" s="246"/>
      <c r="G65" s="246"/>
    </row>
    <row r="66" spans="1:7" s="196" customFormat="1" ht="12" customHeight="1" x14ac:dyDescent="0.3">
      <c r="A66" s="262" t="s">
        <v>486</v>
      </c>
      <c r="B66" s="262"/>
      <c r="C66" s="262"/>
      <c r="D66" s="197"/>
      <c r="E66" s="197"/>
      <c r="F66" s="246"/>
      <c r="G66" s="246"/>
    </row>
    <row r="67" spans="1:7" s="196" customFormat="1" ht="12" customHeight="1" x14ac:dyDescent="0.3">
      <c r="A67" s="265" t="s">
        <v>431</v>
      </c>
      <c r="B67" s="265"/>
      <c r="C67" s="265"/>
      <c r="D67" s="197"/>
      <c r="E67" s="197"/>
      <c r="F67" s="255"/>
      <c r="G67" s="256"/>
    </row>
    <row r="68" spans="1:7" s="196" customFormat="1" ht="12" customHeight="1" x14ac:dyDescent="0.3">
      <c r="A68" s="262" t="s">
        <v>487</v>
      </c>
      <c r="B68" s="262"/>
      <c r="C68" s="262"/>
      <c r="D68" s="197"/>
      <c r="E68" s="197"/>
      <c r="F68" s="280" t="str">
        <f>IF(OR(D68&gt;0,E68&gt;0),"prosimy wypełnić tabelę nr 2", " ")</f>
        <v xml:space="preserve"> </v>
      </c>
      <c r="G68" s="251"/>
    </row>
    <row r="69" spans="1:7" s="196" customFormat="1" ht="12" customHeight="1" x14ac:dyDescent="0.3">
      <c r="A69" s="263" t="s">
        <v>488</v>
      </c>
      <c r="B69" s="263"/>
      <c r="C69" s="263"/>
      <c r="D69" s="197"/>
      <c r="E69" s="197"/>
      <c r="F69" s="246"/>
      <c r="G69" s="246"/>
    </row>
    <row r="70" spans="1:7" s="196" customFormat="1" ht="12" customHeight="1" x14ac:dyDescent="0.3">
      <c r="A70" s="263" t="s">
        <v>489</v>
      </c>
      <c r="B70" s="263"/>
      <c r="C70" s="263"/>
      <c r="D70" s="197"/>
      <c r="E70" s="197"/>
      <c r="F70" s="246"/>
      <c r="G70" s="246"/>
    </row>
    <row r="71" spans="1:7" s="196" customFormat="1" ht="12" customHeight="1" x14ac:dyDescent="0.3">
      <c r="A71" s="263" t="s">
        <v>490</v>
      </c>
      <c r="B71" s="263"/>
      <c r="C71" s="263"/>
      <c r="D71" s="197"/>
      <c r="E71" s="197"/>
      <c r="F71" s="246"/>
      <c r="G71" s="246"/>
    </row>
    <row r="72" spans="1:7" s="196" customFormat="1" ht="12" customHeight="1" x14ac:dyDescent="0.3">
      <c r="A72" s="263" t="s">
        <v>491</v>
      </c>
      <c r="B72" s="263"/>
      <c r="C72" s="263"/>
      <c r="D72" s="197"/>
      <c r="E72" s="197"/>
      <c r="F72" s="246"/>
      <c r="G72" s="246"/>
    </row>
    <row r="73" spans="1:7" s="196" customFormat="1" ht="12" customHeight="1" x14ac:dyDescent="0.3">
      <c r="A73" s="263" t="s">
        <v>492</v>
      </c>
      <c r="B73" s="263"/>
      <c r="C73" s="263"/>
      <c r="D73" s="197"/>
      <c r="E73" s="197"/>
      <c r="F73" s="246"/>
      <c r="G73" s="246"/>
    </row>
    <row r="74" spans="1:7" s="196" customFormat="1" ht="12" customHeight="1" x14ac:dyDescent="0.3">
      <c r="A74" s="262" t="s">
        <v>493</v>
      </c>
      <c r="B74" s="262"/>
      <c r="C74" s="262"/>
      <c r="D74" s="197"/>
      <c r="E74" s="197"/>
      <c r="F74" s="246"/>
      <c r="G74" s="246"/>
    </row>
    <row r="75" spans="1:7" s="196" customFormat="1" ht="12" customHeight="1" x14ac:dyDescent="0.3">
      <c r="A75" s="262" t="s">
        <v>494</v>
      </c>
      <c r="B75" s="262"/>
      <c r="C75" s="262"/>
      <c r="D75" s="197"/>
      <c r="E75" s="197"/>
      <c r="F75" s="246"/>
      <c r="G75" s="246"/>
    </row>
    <row r="76" spans="1:7" s="196" customFormat="1" ht="12" customHeight="1" x14ac:dyDescent="0.3">
      <c r="A76" s="265" t="s">
        <v>433</v>
      </c>
      <c r="B76" s="265"/>
      <c r="C76" s="265"/>
      <c r="D76" s="197"/>
      <c r="E76" s="197"/>
      <c r="F76" s="246"/>
      <c r="G76" s="246"/>
    </row>
    <row r="77" spans="1:7" s="196" customFormat="1" ht="12" customHeight="1" x14ac:dyDescent="0.3">
      <c r="A77" s="262" t="s">
        <v>495</v>
      </c>
      <c r="B77" s="262"/>
      <c r="C77" s="262"/>
      <c r="D77" s="197"/>
      <c r="E77" s="197"/>
      <c r="F77" s="246"/>
      <c r="G77" s="246"/>
    </row>
    <row r="78" spans="1:7" s="196" customFormat="1" ht="25.2" customHeight="1" x14ac:dyDescent="0.3">
      <c r="A78" s="262" t="s">
        <v>496</v>
      </c>
      <c r="B78" s="262"/>
      <c r="C78" s="262"/>
      <c r="D78" s="197"/>
      <c r="E78" s="197"/>
      <c r="F78" s="246"/>
      <c r="G78" s="246"/>
    </row>
    <row r="79" spans="1:7" s="196" customFormat="1" ht="12" customHeight="1" x14ac:dyDescent="0.3">
      <c r="A79" s="262" t="s">
        <v>497</v>
      </c>
      <c r="B79" s="262"/>
      <c r="C79" s="262"/>
      <c r="D79" s="197"/>
      <c r="E79" s="197"/>
      <c r="F79" s="246"/>
      <c r="G79" s="246"/>
    </row>
    <row r="80" spans="1:7" s="196" customFormat="1" ht="12" customHeight="1" x14ac:dyDescent="0.3">
      <c r="A80" s="265" t="s">
        <v>434</v>
      </c>
      <c r="B80" s="265"/>
      <c r="C80" s="265"/>
      <c r="D80" s="197"/>
      <c r="E80" s="197"/>
      <c r="F80" s="246"/>
      <c r="G80" s="246"/>
    </row>
    <row r="81" spans="1:7" s="196" customFormat="1" ht="12" customHeight="1" x14ac:dyDescent="0.3">
      <c r="A81" s="262" t="s">
        <v>498</v>
      </c>
      <c r="B81" s="262"/>
      <c r="C81" s="262"/>
      <c r="D81" s="197"/>
      <c r="E81" s="197"/>
      <c r="F81" s="246"/>
      <c r="G81" s="246"/>
    </row>
    <row r="82" spans="1:7" s="196" customFormat="1" ht="12" customHeight="1" x14ac:dyDescent="0.3">
      <c r="A82" s="262" t="s">
        <v>499</v>
      </c>
      <c r="B82" s="262"/>
      <c r="C82" s="262"/>
      <c r="D82" s="197"/>
      <c r="E82" s="197"/>
      <c r="F82" s="246"/>
      <c r="G82" s="246"/>
    </row>
    <row r="83" spans="1:7" s="196" customFormat="1" ht="12" customHeight="1" x14ac:dyDescent="0.3">
      <c r="A83" s="262" t="s">
        <v>500</v>
      </c>
      <c r="B83" s="262"/>
      <c r="C83" s="262"/>
      <c r="D83" s="197"/>
      <c r="E83" s="197"/>
      <c r="F83" s="246"/>
      <c r="G83" s="246"/>
    </row>
    <row r="84" spans="1:7" s="196" customFormat="1" ht="12" customHeight="1" x14ac:dyDescent="0.3">
      <c r="A84" s="263" t="s">
        <v>501</v>
      </c>
      <c r="B84" s="263"/>
      <c r="C84" s="263"/>
      <c r="D84" s="197"/>
      <c r="E84" s="197"/>
      <c r="F84" s="246"/>
      <c r="G84" s="246"/>
    </row>
    <row r="85" spans="1:7" s="196" customFormat="1" ht="12" customHeight="1" x14ac:dyDescent="0.3">
      <c r="A85" s="259" t="s">
        <v>502</v>
      </c>
      <c r="B85" s="259"/>
      <c r="C85" s="259"/>
      <c r="D85" s="197"/>
      <c r="E85" s="197"/>
      <c r="F85" s="246"/>
      <c r="G85" s="246"/>
    </row>
    <row r="86" spans="1:7" s="196" customFormat="1" ht="12" customHeight="1" x14ac:dyDescent="0.3">
      <c r="A86" s="259" t="s">
        <v>503</v>
      </c>
      <c r="B86" s="259"/>
      <c r="C86" s="259"/>
      <c r="D86" s="197"/>
      <c r="E86" s="197"/>
      <c r="F86" s="246"/>
      <c r="G86" s="246"/>
    </row>
    <row r="87" spans="1:7" s="196" customFormat="1" ht="12" customHeight="1" x14ac:dyDescent="0.3">
      <c r="A87" s="259" t="s">
        <v>504</v>
      </c>
      <c r="B87" s="259"/>
      <c r="C87" s="259"/>
      <c r="D87" s="197"/>
      <c r="E87" s="197"/>
      <c r="F87" s="246"/>
      <c r="G87" s="246"/>
    </row>
    <row r="88" spans="1:7" s="196" customFormat="1" ht="12" customHeight="1" x14ac:dyDescent="0.3">
      <c r="A88" s="259" t="s">
        <v>505</v>
      </c>
      <c r="B88" s="259"/>
      <c r="C88" s="259"/>
      <c r="D88" s="197"/>
      <c r="E88" s="197"/>
      <c r="F88" s="246"/>
      <c r="G88" s="246"/>
    </row>
    <row r="89" spans="1:7" s="196" customFormat="1" ht="25.2" customHeight="1" x14ac:dyDescent="0.3">
      <c r="A89" s="263" t="s">
        <v>594</v>
      </c>
      <c r="B89" s="263"/>
      <c r="C89" s="263"/>
      <c r="D89" s="197"/>
      <c r="E89" s="197"/>
      <c r="F89" s="246"/>
      <c r="G89" s="246"/>
    </row>
    <row r="90" spans="1:7" s="196" customFormat="1" ht="12" customHeight="1" x14ac:dyDescent="0.3">
      <c r="A90" s="259" t="s">
        <v>502</v>
      </c>
      <c r="B90" s="259"/>
      <c r="C90" s="259"/>
      <c r="D90" s="197"/>
      <c r="E90" s="197"/>
      <c r="F90" s="246"/>
      <c r="G90" s="246"/>
    </row>
    <row r="91" spans="1:7" s="196" customFormat="1" ht="12" customHeight="1" x14ac:dyDescent="0.3">
      <c r="A91" s="259" t="s">
        <v>503</v>
      </c>
      <c r="B91" s="259"/>
      <c r="C91" s="259"/>
      <c r="D91" s="197"/>
      <c r="E91" s="197"/>
      <c r="F91" s="246"/>
      <c r="G91" s="246"/>
    </row>
    <row r="92" spans="1:7" s="196" customFormat="1" ht="12" customHeight="1" x14ac:dyDescent="0.3">
      <c r="A92" s="259" t="s">
        <v>504</v>
      </c>
      <c r="B92" s="259"/>
      <c r="C92" s="259"/>
      <c r="D92" s="197"/>
      <c r="E92" s="197"/>
      <c r="F92" s="246"/>
      <c r="G92" s="246"/>
    </row>
    <row r="93" spans="1:7" s="196" customFormat="1" ht="12" customHeight="1" x14ac:dyDescent="0.3">
      <c r="A93" s="259" t="s">
        <v>505</v>
      </c>
      <c r="B93" s="259"/>
      <c r="C93" s="259"/>
      <c r="D93" s="197"/>
      <c r="E93" s="197"/>
      <c r="F93" s="246"/>
      <c r="G93" s="246"/>
    </row>
    <row r="94" spans="1:7" s="196" customFormat="1" ht="12" customHeight="1" x14ac:dyDescent="0.3">
      <c r="A94" s="263" t="s">
        <v>506</v>
      </c>
      <c r="B94" s="263"/>
      <c r="C94" s="263"/>
      <c r="D94" s="197"/>
      <c r="E94" s="197"/>
      <c r="F94" s="246"/>
      <c r="G94" s="246"/>
    </row>
    <row r="95" spans="1:7" s="196" customFormat="1" ht="12" customHeight="1" x14ac:dyDescent="0.3">
      <c r="A95" s="259" t="s">
        <v>502</v>
      </c>
      <c r="B95" s="259"/>
      <c r="C95" s="259"/>
      <c r="D95" s="197"/>
      <c r="E95" s="197"/>
      <c r="F95" s="246"/>
      <c r="G95" s="246"/>
    </row>
    <row r="96" spans="1:7" s="196" customFormat="1" ht="12" customHeight="1" x14ac:dyDescent="0.3">
      <c r="A96" s="259" t="s">
        <v>503</v>
      </c>
      <c r="B96" s="259"/>
      <c r="C96" s="259"/>
      <c r="D96" s="197"/>
      <c r="E96" s="197"/>
      <c r="F96" s="246"/>
      <c r="G96" s="246"/>
    </row>
    <row r="97" spans="1:7" s="196" customFormat="1" ht="12" customHeight="1" x14ac:dyDescent="0.3">
      <c r="A97" s="259" t="s">
        <v>504</v>
      </c>
      <c r="B97" s="259"/>
      <c r="C97" s="259"/>
      <c r="D97" s="197"/>
      <c r="E97" s="197"/>
      <c r="F97" s="246"/>
      <c r="G97" s="246"/>
    </row>
    <row r="98" spans="1:7" s="196" customFormat="1" ht="12" customHeight="1" x14ac:dyDescent="0.3">
      <c r="A98" s="259" t="s">
        <v>505</v>
      </c>
      <c r="B98" s="259"/>
      <c r="C98" s="259"/>
      <c r="D98" s="197"/>
      <c r="E98" s="197"/>
      <c r="F98" s="246"/>
      <c r="G98" s="246"/>
    </row>
    <row r="99" spans="1:7" s="196" customFormat="1" ht="12" customHeight="1" x14ac:dyDescent="0.3">
      <c r="A99" s="262" t="s">
        <v>507</v>
      </c>
      <c r="B99" s="262"/>
      <c r="C99" s="262"/>
      <c r="D99" s="197"/>
      <c r="E99" s="197"/>
      <c r="F99" s="246"/>
      <c r="G99" s="246"/>
    </row>
    <row r="100" spans="1:7" s="196" customFormat="1" ht="12" customHeight="1" x14ac:dyDescent="0.3">
      <c r="A100" s="265" t="s">
        <v>435</v>
      </c>
      <c r="B100" s="265"/>
      <c r="C100" s="265"/>
      <c r="D100" s="197"/>
      <c r="E100" s="197"/>
      <c r="F100" s="246"/>
      <c r="G100" s="246"/>
    </row>
    <row r="101" spans="1:7" s="196" customFormat="1" ht="12" customHeight="1" x14ac:dyDescent="0.3">
      <c r="A101" s="262" t="s">
        <v>508</v>
      </c>
      <c r="B101" s="262"/>
      <c r="C101" s="262"/>
      <c r="D101" s="197"/>
      <c r="E101" s="197"/>
      <c r="F101" s="246"/>
      <c r="G101" s="246"/>
    </row>
    <row r="102" spans="1:7" s="196" customFormat="1" ht="12" customHeight="1" x14ac:dyDescent="0.3">
      <c r="A102" s="262" t="s">
        <v>509</v>
      </c>
      <c r="B102" s="262"/>
      <c r="C102" s="262"/>
      <c r="D102" s="197"/>
      <c r="E102" s="197"/>
      <c r="F102" s="246"/>
      <c r="G102" s="246"/>
    </row>
    <row r="103" spans="1:7" s="196" customFormat="1" ht="12" customHeight="1" x14ac:dyDescent="0.3">
      <c r="A103" s="264" t="s">
        <v>136</v>
      </c>
      <c r="B103" s="264"/>
      <c r="C103" s="264"/>
      <c r="D103" s="212">
        <f>D104+D110+D128+D145</f>
        <v>0</v>
      </c>
      <c r="E103" s="212">
        <f>E104+E110+E128+E145</f>
        <v>0</v>
      </c>
      <c r="F103" s="246"/>
      <c r="G103" s="246"/>
    </row>
    <row r="104" spans="1:7" s="196" customFormat="1" ht="12" customHeight="1" x14ac:dyDescent="0.3">
      <c r="A104" s="265" t="s">
        <v>510</v>
      </c>
      <c r="B104" s="265"/>
      <c r="C104" s="265"/>
      <c r="D104" s="197"/>
      <c r="E104" s="197"/>
      <c r="F104" s="246"/>
      <c r="G104" s="246"/>
    </row>
    <row r="105" spans="1:7" s="196" customFormat="1" ht="12" customHeight="1" x14ac:dyDescent="0.3">
      <c r="A105" s="262" t="s">
        <v>511</v>
      </c>
      <c r="B105" s="262"/>
      <c r="C105" s="262"/>
      <c r="D105" s="197"/>
      <c r="E105" s="197"/>
      <c r="F105" s="246"/>
      <c r="G105" s="246"/>
    </row>
    <row r="106" spans="1:7" s="196" customFormat="1" ht="12" customHeight="1" x14ac:dyDescent="0.3">
      <c r="A106" s="262" t="s">
        <v>512</v>
      </c>
      <c r="B106" s="262"/>
      <c r="C106" s="262"/>
      <c r="D106" s="197"/>
      <c r="E106" s="197"/>
      <c r="F106" s="246"/>
      <c r="G106" s="246"/>
    </row>
    <row r="107" spans="1:7" s="196" customFormat="1" ht="12" customHeight="1" x14ac:dyDescent="0.3">
      <c r="A107" s="262" t="s">
        <v>513</v>
      </c>
      <c r="B107" s="262"/>
      <c r="C107" s="262"/>
      <c r="D107" s="197"/>
      <c r="E107" s="197"/>
      <c r="F107" s="246"/>
      <c r="G107" s="246"/>
    </row>
    <row r="108" spans="1:7" s="196" customFormat="1" ht="12" customHeight="1" x14ac:dyDescent="0.3">
      <c r="A108" s="262" t="s">
        <v>514</v>
      </c>
      <c r="B108" s="262"/>
      <c r="C108" s="262"/>
      <c r="D108" s="197"/>
      <c r="E108" s="197"/>
      <c r="F108" s="246"/>
      <c r="G108" s="246"/>
    </row>
    <row r="109" spans="1:7" s="196" customFormat="1" ht="12" customHeight="1" x14ac:dyDescent="0.3">
      <c r="A109" s="262" t="s">
        <v>515</v>
      </c>
      <c r="B109" s="262"/>
      <c r="C109" s="262"/>
      <c r="D109" s="197"/>
      <c r="E109" s="197"/>
      <c r="F109" s="246"/>
      <c r="G109" s="246"/>
    </row>
    <row r="110" spans="1:7" s="196" customFormat="1" ht="12" customHeight="1" x14ac:dyDescent="0.3">
      <c r="A110" s="265" t="s">
        <v>516</v>
      </c>
      <c r="B110" s="265"/>
      <c r="C110" s="265"/>
      <c r="D110" s="197"/>
      <c r="E110" s="197"/>
      <c r="F110" s="246"/>
      <c r="G110" s="246"/>
    </row>
    <row r="111" spans="1:7" s="196" customFormat="1" ht="12" customHeight="1" x14ac:dyDescent="0.3">
      <c r="A111" s="262" t="s">
        <v>517</v>
      </c>
      <c r="B111" s="262"/>
      <c r="C111" s="262"/>
      <c r="D111" s="197"/>
      <c r="E111" s="197"/>
      <c r="F111" s="246"/>
      <c r="G111" s="246"/>
    </row>
    <row r="112" spans="1:7" s="196" customFormat="1" ht="12" customHeight="1" x14ac:dyDescent="0.3">
      <c r="A112" s="263" t="s">
        <v>518</v>
      </c>
      <c r="B112" s="263"/>
      <c r="C112" s="263"/>
      <c r="D112" s="197"/>
      <c r="E112" s="197"/>
      <c r="F112" s="246"/>
      <c r="G112" s="246"/>
    </row>
    <row r="113" spans="1:7" s="196" customFormat="1" ht="12" customHeight="1" x14ac:dyDescent="0.3">
      <c r="A113" s="259" t="s">
        <v>519</v>
      </c>
      <c r="B113" s="259"/>
      <c r="C113" s="259"/>
      <c r="D113" s="197"/>
      <c r="E113" s="197"/>
      <c r="F113" s="246"/>
      <c r="G113" s="246"/>
    </row>
    <row r="114" spans="1:7" s="196" customFormat="1" ht="12" customHeight="1" x14ac:dyDescent="0.3">
      <c r="A114" s="259" t="s">
        <v>520</v>
      </c>
      <c r="B114" s="259"/>
      <c r="C114" s="259"/>
      <c r="D114" s="197"/>
      <c r="E114" s="197"/>
      <c r="F114" s="246"/>
      <c r="G114" s="246"/>
    </row>
    <row r="115" spans="1:7" s="196" customFormat="1" ht="12" customHeight="1" x14ac:dyDescent="0.3">
      <c r="A115" s="263" t="s">
        <v>521</v>
      </c>
      <c r="B115" s="263"/>
      <c r="C115" s="263"/>
      <c r="D115" s="197"/>
      <c r="E115" s="197"/>
      <c r="F115" s="246"/>
      <c r="G115" s="246"/>
    </row>
    <row r="116" spans="1:7" s="196" customFormat="1" ht="25.2" customHeight="1" x14ac:dyDescent="0.3">
      <c r="A116" s="262" t="s">
        <v>595</v>
      </c>
      <c r="B116" s="262"/>
      <c r="C116" s="262"/>
      <c r="D116" s="197"/>
      <c r="E116" s="197"/>
      <c r="F116" s="246"/>
      <c r="G116" s="246"/>
    </row>
    <row r="117" spans="1:7" s="196" customFormat="1" ht="12" customHeight="1" x14ac:dyDescent="0.3">
      <c r="A117" s="263" t="s">
        <v>518</v>
      </c>
      <c r="B117" s="263"/>
      <c r="C117" s="263"/>
      <c r="D117" s="197"/>
      <c r="E117" s="197"/>
      <c r="F117" s="246"/>
      <c r="G117" s="246"/>
    </row>
    <row r="118" spans="1:7" s="196" customFormat="1" ht="12" customHeight="1" x14ac:dyDescent="0.3">
      <c r="A118" s="259" t="s">
        <v>519</v>
      </c>
      <c r="B118" s="259"/>
      <c r="C118" s="259"/>
      <c r="D118" s="197"/>
      <c r="E118" s="197"/>
      <c r="F118" s="246"/>
      <c r="G118" s="246"/>
    </row>
    <row r="119" spans="1:7" s="196" customFormat="1" ht="12" customHeight="1" x14ac:dyDescent="0.3">
      <c r="A119" s="259" t="s">
        <v>520</v>
      </c>
      <c r="B119" s="259"/>
      <c r="C119" s="259"/>
      <c r="D119" s="197"/>
      <c r="E119" s="197"/>
      <c r="F119" s="246"/>
      <c r="G119" s="246"/>
    </row>
    <row r="120" spans="1:7" s="196" customFormat="1" ht="12" customHeight="1" x14ac:dyDescent="0.3">
      <c r="A120" s="263" t="s">
        <v>521</v>
      </c>
      <c r="B120" s="263"/>
      <c r="C120" s="263"/>
      <c r="D120" s="197"/>
      <c r="E120" s="197"/>
      <c r="F120" s="246"/>
      <c r="G120" s="246"/>
    </row>
    <row r="121" spans="1:7" s="196" customFormat="1" ht="12" customHeight="1" x14ac:dyDescent="0.3">
      <c r="A121" s="262" t="s">
        <v>522</v>
      </c>
      <c r="B121" s="262"/>
      <c r="C121" s="262"/>
      <c r="D121" s="197"/>
      <c r="E121" s="197"/>
      <c r="F121" s="246"/>
      <c r="G121" s="246"/>
    </row>
    <row r="122" spans="1:7" s="196" customFormat="1" ht="12" customHeight="1" x14ac:dyDescent="0.3">
      <c r="A122" s="263" t="s">
        <v>518</v>
      </c>
      <c r="B122" s="263"/>
      <c r="C122" s="263"/>
      <c r="D122" s="197"/>
      <c r="E122" s="197"/>
      <c r="F122" s="246"/>
      <c r="G122" s="246"/>
    </row>
    <row r="123" spans="1:7" s="196" customFormat="1" ht="12" customHeight="1" x14ac:dyDescent="0.3">
      <c r="A123" s="259" t="s">
        <v>519</v>
      </c>
      <c r="B123" s="259"/>
      <c r="C123" s="259"/>
      <c r="D123" s="197"/>
      <c r="E123" s="197"/>
      <c r="F123" s="246"/>
      <c r="G123" s="246"/>
    </row>
    <row r="124" spans="1:7" s="196" customFormat="1" ht="12" customHeight="1" x14ac:dyDescent="0.3">
      <c r="A124" s="259" t="s">
        <v>520</v>
      </c>
      <c r="B124" s="259"/>
      <c r="C124" s="259"/>
      <c r="D124" s="197"/>
      <c r="E124" s="197"/>
      <c r="F124" s="246"/>
      <c r="G124" s="246"/>
    </row>
    <row r="125" spans="1:7" s="196" customFormat="1" ht="12" customHeight="1" x14ac:dyDescent="0.3">
      <c r="A125" s="263" t="s">
        <v>523</v>
      </c>
      <c r="B125" s="263"/>
      <c r="C125" s="263"/>
      <c r="D125" s="197"/>
      <c r="E125" s="197"/>
      <c r="F125" s="246"/>
      <c r="G125" s="246"/>
    </row>
    <row r="126" spans="1:7" s="196" customFormat="1" ht="12" customHeight="1" x14ac:dyDescent="0.3">
      <c r="A126" s="263" t="s">
        <v>524</v>
      </c>
      <c r="B126" s="263"/>
      <c r="C126" s="263"/>
      <c r="D126" s="197"/>
      <c r="E126" s="197"/>
      <c r="F126" s="246"/>
      <c r="G126" s="246"/>
    </row>
    <row r="127" spans="1:7" s="196" customFormat="1" ht="12" customHeight="1" x14ac:dyDescent="0.3">
      <c r="A127" s="263" t="s">
        <v>525</v>
      </c>
      <c r="B127" s="263"/>
      <c r="C127" s="263"/>
      <c r="D127" s="197"/>
      <c r="E127" s="197"/>
      <c r="F127" s="246"/>
      <c r="G127" s="246"/>
    </row>
    <row r="128" spans="1:7" s="196" customFormat="1" ht="12" customHeight="1" x14ac:dyDescent="0.3">
      <c r="A128" s="265" t="s">
        <v>526</v>
      </c>
      <c r="B128" s="265"/>
      <c r="C128" s="265"/>
      <c r="D128" s="197"/>
      <c r="E128" s="197"/>
      <c r="F128" s="246"/>
      <c r="G128" s="246"/>
    </row>
    <row r="129" spans="1:7" s="196" customFormat="1" ht="12" customHeight="1" x14ac:dyDescent="0.3">
      <c r="A129" s="262" t="s">
        <v>527</v>
      </c>
      <c r="B129" s="262"/>
      <c r="C129" s="262"/>
      <c r="D129" s="197"/>
      <c r="E129" s="197"/>
      <c r="F129" s="246"/>
      <c r="G129" s="246"/>
    </row>
    <row r="130" spans="1:7" s="196" customFormat="1" ht="12" customHeight="1" x14ac:dyDescent="0.3">
      <c r="A130" s="263" t="s">
        <v>501</v>
      </c>
      <c r="B130" s="263"/>
      <c r="C130" s="263"/>
      <c r="D130" s="197"/>
      <c r="E130" s="197"/>
      <c r="F130" s="246"/>
      <c r="G130" s="246"/>
    </row>
    <row r="131" spans="1:7" s="196" customFormat="1" ht="12" customHeight="1" x14ac:dyDescent="0.3">
      <c r="A131" s="259" t="s">
        <v>528</v>
      </c>
      <c r="B131" s="259"/>
      <c r="C131" s="259"/>
      <c r="D131" s="197"/>
      <c r="E131" s="197"/>
      <c r="F131" s="246"/>
      <c r="G131" s="246"/>
    </row>
    <row r="132" spans="1:7" s="196" customFormat="1" ht="12" customHeight="1" x14ac:dyDescent="0.3">
      <c r="A132" s="259" t="s">
        <v>529</v>
      </c>
      <c r="B132" s="259"/>
      <c r="C132" s="259"/>
      <c r="D132" s="197"/>
      <c r="E132" s="197"/>
      <c r="F132" s="246"/>
      <c r="G132" s="246"/>
    </row>
    <row r="133" spans="1:7" s="196" customFormat="1" ht="12" customHeight="1" x14ac:dyDescent="0.3">
      <c r="A133" s="259" t="s">
        <v>530</v>
      </c>
      <c r="B133" s="259"/>
      <c r="C133" s="259"/>
      <c r="D133" s="197"/>
      <c r="E133" s="197"/>
      <c r="F133" s="246"/>
      <c r="G133" s="246"/>
    </row>
    <row r="134" spans="1:7" s="196" customFormat="1" ht="12" customHeight="1" x14ac:dyDescent="0.3">
      <c r="A134" s="259" t="s">
        <v>531</v>
      </c>
      <c r="B134" s="259"/>
      <c r="C134" s="259"/>
      <c r="D134" s="197"/>
      <c r="E134" s="197"/>
      <c r="F134" s="246"/>
      <c r="G134" s="246"/>
    </row>
    <row r="135" spans="1:7" s="196" customFormat="1" ht="12" customHeight="1" x14ac:dyDescent="0.3">
      <c r="A135" s="263" t="s">
        <v>532</v>
      </c>
      <c r="B135" s="263"/>
      <c r="C135" s="263"/>
      <c r="D135" s="197"/>
      <c r="E135" s="197"/>
      <c r="F135" s="246"/>
      <c r="G135" s="246"/>
    </row>
    <row r="136" spans="1:7" s="196" customFormat="1" ht="12" customHeight="1" x14ac:dyDescent="0.3">
      <c r="A136" s="259" t="s">
        <v>528</v>
      </c>
      <c r="B136" s="259"/>
      <c r="C136" s="259"/>
      <c r="D136" s="197"/>
      <c r="E136" s="197"/>
      <c r="F136" s="246"/>
      <c r="G136" s="246"/>
    </row>
    <row r="137" spans="1:7" s="196" customFormat="1" ht="12" customHeight="1" x14ac:dyDescent="0.3">
      <c r="A137" s="259" t="s">
        <v>529</v>
      </c>
      <c r="B137" s="259"/>
      <c r="C137" s="259"/>
      <c r="D137" s="197"/>
      <c r="E137" s="197"/>
      <c r="F137" s="246"/>
      <c r="G137" s="246"/>
    </row>
    <row r="138" spans="1:7" s="196" customFormat="1" ht="12" customHeight="1" x14ac:dyDescent="0.3">
      <c r="A138" s="259" t="s">
        <v>530</v>
      </c>
      <c r="B138" s="259"/>
      <c r="C138" s="259"/>
      <c r="D138" s="197"/>
      <c r="E138" s="197"/>
      <c r="F138" s="246"/>
      <c r="G138" s="246"/>
    </row>
    <row r="139" spans="1:7" s="196" customFormat="1" ht="12" customHeight="1" x14ac:dyDescent="0.3">
      <c r="A139" s="259" t="s">
        <v>531</v>
      </c>
      <c r="B139" s="259"/>
      <c r="C139" s="259"/>
      <c r="D139" s="197"/>
      <c r="E139" s="197"/>
      <c r="F139" s="246"/>
      <c r="G139" s="246"/>
    </row>
    <row r="140" spans="1:7" s="196" customFormat="1" ht="12" customHeight="1" x14ac:dyDescent="0.3">
      <c r="A140" s="263" t="s">
        <v>533</v>
      </c>
      <c r="B140" s="263"/>
      <c r="C140" s="263"/>
      <c r="D140" s="197"/>
      <c r="E140" s="197"/>
      <c r="F140" s="246"/>
      <c r="G140" s="246"/>
    </row>
    <row r="141" spans="1:7" s="196" customFormat="1" ht="12" customHeight="1" x14ac:dyDescent="0.3">
      <c r="A141" s="259" t="s">
        <v>534</v>
      </c>
      <c r="B141" s="259"/>
      <c r="C141" s="259"/>
      <c r="D141" s="197"/>
      <c r="E141" s="197"/>
      <c r="F141" s="246"/>
      <c r="G141" s="246"/>
    </row>
    <row r="142" spans="1:7" s="196" customFormat="1" ht="12" customHeight="1" x14ac:dyDescent="0.3">
      <c r="A142" s="259" t="s">
        <v>535</v>
      </c>
      <c r="B142" s="259"/>
      <c r="C142" s="259"/>
      <c r="D142" s="197"/>
      <c r="E142" s="197"/>
      <c r="F142" s="246"/>
      <c r="G142" s="246"/>
    </row>
    <row r="143" spans="1:7" s="196" customFormat="1" ht="12" customHeight="1" x14ac:dyDescent="0.3">
      <c r="A143" s="259" t="s">
        <v>536</v>
      </c>
      <c r="B143" s="259"/>
      <c r="C143" s="259"/>
      <c r="D143" s="197"/>
      <c r="E143" s="197"/>
      <c r="F143" s="246"/>
      <c r="G143" s="246"/>
    </row>
    <row r="144" spans="1:7" s="196" customFormat="1" ht="12" customHeight="1" x14ac:dyDescent="0.3">
      <c r="A144" s="262" t="s">
        <v>537</v>
      </c>
      <c r="B144" s="262"/>
      <c r="C144" s="262"/>
      <c r="D144" s="197"/>
      <c r="E144" s="197"/>
      <c r="F144" s="246"/>
      <c r="G144" s="246"/>
    </row>
    <row r="145" spans="1:7" s="196" customFormat="1" ht="12" customHeight="1" x14ac:dyDescent="0.3">
      <c r="A145" s="265" t="s">
        <v>538</v>
      </c>
      <c r="B145" s="265"/>
      <c r="C145" s="265"/>
      <c r="D145" s="197"/>
      <c r="E145" s="197"/>
      <c r="F145" s="251" t="str">
        <f>IF(OR(D145&gt;(D8+D28)/8,E145&gt;(E8+E28)/8),"prosimy wypełnić tabelę nr 3", " ")</f>
        <v xml:space="preserve"> </v>
      </c>
      <c r="G145" s="251"/>
    </row>
    <row r="146" spans="1:7" s="196" customFormat="1" ht="12" customHeight="1" x14ac:dyDescent="0.3">
      <c r="A146" s="264" t="s">
        <v>167</v>
      </c>
      <c r="B146" s="264"/>
      <c r="C146" s="264"/>
      <c r="D146" s="197"/>
      <c r="E146" s="197"/>
      <c r="F146" s="246"/>
      <c r="G146" s="246"/>
    </row>
    <row r="147" spans="1:7" s="196" customFormat="1" ht="12" customHeight="1" x14ac:dyDescent="0.3">
      <c r="A147" s="264" t="s">
        <v>168</v>
      </c>
      <c r="B147" s="264"/>
      <c r="C147" s="264"/>
      <c r="D147" s="197"/>
      <c r="E147" s="197"/>
      <c r="F147" s="246"/>
      <c r="G147" s="246"/>
    </row>
    <row r="148" spans="1:7" s="196" customFormat="1" ht="12" customHeight="1" x14ac:dyDescent="0.3">
      <c r="A148" s="258" t="s">
        <v>330</v>
      </c>
      <c r="B148" s="258"/>
      <c r="C148" s="258"/>
      <c r="D148" s="213">
        <f>D61+D103+D146+D147</f>
        <v>0</v>
      </c>
      <c r="E148" s="213">
        <f>E61+E103+E146+E147</f>
        <v>0</v>
      </c>
      <c r="F148" s="246"/>
      <c r="G148" s="246"/>
    </row>
    <row r="149" spans="1:7" s="196" customFormat="1" ht="12" customHeight="1" x14ac:dyDescent="0.3">
      <c r="A149" s="279"/>
      <c r="B149" s="279"/>
      <c r="C149" s="279"/>
      <c r="D149" s="279"/>
      <c r="E149" s="279"/>
      <c r="F149" s="246"/>
      <c r="G149" s="246"/>
    </row>
    <row r="150" spans="1:7" s="196" customFormat="1" ht="12" customHeight="1" x14ac:dyDescent="0.3">
      <c r="A150" s="264" t="s">
        <v>170</v>
      </c>
      <c r="B150" s="264"/>
      <c r="C150" s="264"/>
      <c r="D150" s="212">
        <f>D148-D162</f>
        <v>0</v>
      </c>
      <c r="E150" s="212">
        <f>E148-E162</f>
        <v>0</v>
      </c>
      <c r="F150" s="250" t="str">
        <f>IF(AND(D151+D152+D154+D156+D159+D160+D161=D150,E151+E152+E154+E156+E159+E160+E161=E150)," ","Sprawdź pozycje A.I-VII, ich suma powinna być równa Kapitałowi (funduszowi) własnemu.")</f>
        <v xml:space="preserve"> </v>
      </c>
      <c r="G150" s="250"/>
    </row>
    <row r="151" spans="1:7" s="196" customFormat="1" ht="12" customHeight="1" x14ac:dyDescent="0.3">
      <c r="A151" s="265" t="s">
        <v>539</v>
      </c>
      <c r="B151" s="265"/>
      <c r="C151" s="265"/>
      <c r="D151" s="197"/>
      <c r="E151" s="197"/>
      <c r="F151" s="250"/>
      <c r="G151" s="250"/>
    </row>
    <row r="152" spans="1:7" s="196" customFormat="1" ht="12" customHeight="1" x14ac:dyDescent="0.3">
      <c r="A152" s="265" t="s">
        <v>540</v>
      </c>
      <c r="B152" s="265"/>
      <c r="C152" s="265"/>
      <c r="D152" s="197"/>
      <c r="E152" s="197"/>
      <c r="F152" s="250"/>
      <c r="G152" s="250"/>
    </row>
    <row r="153" spans="1:7" s="196" customFormat="1" ht="25.2" customHeight="1" x14ac:dyDescent="0.3">
      <c r="A153" s="262" t="s">
        <v>541</v>
      </c>
      <c r="B153" s="262"/>
      <c r="C153" s="262"/>
      <c r="D153" s="197"/>
      <c r="E153" s="197"/>
      <c r="F153" s="250"/>
      <c r="G153" s="250"/>
    </row>
    <row r="154" spans="1:7" s="196" customFormat="1" ht="12" customHeight="1" x14ac:dyDescent="0.3">
      <c r="A154" s="265" t="s">
        <v>542</v>
      </c>
      <c r="B154" s="265"/>
      <c r="C154" s="265"/>
      <c r="D154" s="197"/>
      <c r="E154" s="197"/>
      <c r="F154" s="250"/>
      <c r="G154" s="250"/>
    </row>
    <row r="155" spans="1:7" s="196" customFormat="1" ht="12" customHeight="1" x14ac:dyDescent="0.3">
      <c r="A155" s="262" t="s">
        <v>543</v>
      </c>
      <c r="B155" s="262"/>
      <c r="C155" s="262"/>
      <c r="D155" s="197"/>
      <c r="E155" s="197"/>
      <c r="F155" s="250"/>
      <c r="G155" s="250"/>
    </row>
    <row r="156" spans="1:7" s="196" customFormat="1" ht="12" customHeight="1" x14ac:dyDescent="0.3">
      <c r="A156" s="265" t="s">
        <v>544</v>
      </c>
      <c r="B156" s="265"/>
      <c r="C156" s="265"/>
      <c r="D156" s="197"/>
      <c r="E156" s="197"/>
      <c r="F156" s="253"/>
      <c r="G156" s="254"/>
    </row>
    <row r="157" spans="1:7" s="196" customFormat="1" ht="12" customHeight="1" x14ac:dyDescent="0.3">
      <c r="A157" s="262" t="s">
        <v>545</v>
      </c>
      <c r="B157" s="262"/>
      <c r="C157" s="262"/>
      <c r="D157" s="197"/>
      <c r="E157" s="197"/>
      <c r="F157" s="253"/>
      <c r="G157" s="254"/>
    </row>
    <row r="158" spans="1:7" s="196" customFormat="1" ht="12" customHeight="1" x14ac:dyDescent="0.3">
      <c r="A158" s="262" t="s">
        <v>546</v>
      </c>
      <c r="B158" s="262"/>
      <c r="C158" s="262"/>
      <c r="D158" s="197"/>
      <c r="E158" s="197"/>
      <c r="F158" s="253"/>
      <c r="G158" s="254"/>
    </row>
    <row r="159" spans="1:7" s="196" customFormat="1" ht="12" customHeight="1" x14ac:dyDescent="0.3">
      <c r="A159" s="265" t="s">
        <v>547</v>
      </c>
      <c r="B159" s="265"/>
      <c r="C159" s="265"/>
      <c r="D159" s="197"/>
      <c r="E159" s="197"/>
      <c r="F159" s="246"/>
      <c r="G159" s="246"/>
    </row>
    <row r="160" spans="1:7" s="196" customFormat="1" ht="12" customHeight="1" x14ac:dyDescent="0.3">
      <c r="A160" s="265" t="s">
        <v>548</v>
      </c>
      <c r="B160" s="265"/>
      <c r="C160" s="265"/>
      <c r="D160" s="197"/>
      <c r="E160" s="197"/>
      <c r="F160" s="246"/>
      <c r="G160" s="246"/>
    </row>
    <row r="161" spans="1:7" s="196" customFormat="1" ht="22.2" customHeight="1" x14ac:dyDescent="0.3">
      <c r="A161" s="265" t="s">
        <v>549</v>
      </c>
      <c r="B161" s="265"/>
      <c r="C161" s="265"/>
      <c r="D161" s="197"/>
      <c r="E161" s="197"/>
      <c r="F161" s="246"/>
      <c r="G161" s="246"/>
    </row>
    <row r="162" spans="1:7" s="196" customFormat="1" ht="12" customHeight="1" x14ac:dyDescent="0.3">
      <c r="A162" s="264" t="s">
        <v>182</v>
      </c>
      <c r="B162" s="264"/>
      <c r="C162" s="264"/>
      <c r="D162" s="212">
        <f>D163+D171+D180+D204</f>
        <v>0</v>
      </c>
      <c r="E162" s="212">
        <f>E163+E171+E180+E204</f>
        <v>0</v>
      </c>
      <c r="F162" s="246"/>
      <c r="G162" s="246"/>
    </row>
    <row r="163" spans="1:7" s="196" customFormat="1" ht="12" customHeight="1" x14ac:dyDescent="0.3">
      <c r="A163" s="265" t="s">
        <v>550</v>
      </c>
      <c r="B163" s="265"/>
      <c r="C163" s="265"/>
      <c r="D163" s="197"/>
      <c r="E163" s="197"/>
      <c r="F163" s="246"/>
      <c r="G163" s="246"/>
    </row>
    <row r="164" spans="1:7" s="196" customFormat="1" ht="12" customHeight="1" x14ac:dyDescent="0.3">
      <c r="A164" s="262" t="s">
        <v>551</v>
      </c>
      <c r="B164" s="262"/>
      <c r="C164" s="262"/>
      <c r="D164" s="197"/>
      <c r="E164" s="197"/>
      <c r="F164" s="246"/>
      <c r="G164" s="246"/>
    </row>
    <row r="165" spans="1:7" s="196" customFormat="1" ht="12" customHeight="1" x14ac:dyDescent="0.3">
      <c r="A165" s="262" t="s">
        <v>552</v>
      </c>
      <c r="B165" s="262"/>
      <c r="C165" s="262"/>
      <c r="D165" s="197"/>
      <c r="E165" s="197"/>
      <c r="F165" s="246"/>
      <c r="G165" s="246"/>
    </row>
    <row r="166" spans="1:7" s="196" customFormat="1" ht="12" customHeight="1" x14ac:dyDescent="0.3">
      <c r="A166" s="261" t="s">
        <v>553</v>
      </c>
      <c r="B166" s="261"/>
      <c r="C166" s="261"/>
      <c r="D166" s="197"/>
      <c r="E166" s="197"/>
      <c r="F166" s="246"/>
      <c r="G166" s="246"/>
    </row>
    <row r="167" spans="1:7" s="196" customFormat="1" ht="12" customHeight="1" x14ac:dyDescent="0.3">
      <c r="A167" s="261" t="s">
        <v>554</v>
      </c>
      <c r="B167" s="261"/>
      <c r="C167" s="261"/>
      <c r="D167" s="197"/>
      <c r="E167" s="197"/>
      <c r="F167" s="246"/>
      <c r="G167" s="246"/>
    </row>
    <row r="168" spans="1:7" s="196" customFormat="1" ht="12" customHeight="1" x14ac:dyDescent="0.3">
      <c r="A168" s="262" t="s">
        <v>555</v>
      </c>
      <c r="B168" s="262"/>
      <c r="C168" s="262"/>
      <c r="D168" s="197"/>
      <c r="E168" s="197"/>
      <c r="F168" s="246"/>
      <c r="G168" s="246"/>
    </row>
    <row r="169" spans="1:7" s="196" customFormat="1" ht="12" customHeight="1" x14ac:dyDescent="0.3">
      <c r="A169" s="261" t="s">
        <v>553</v>
      </c>
      <c r="B169" s="261"/>
      <c r="C169" s="261"/>
      <c r="D169" s="197"/>
      <c r="E169" s="197"/>
      <c r="F169" s="246"/>
      <c r="G169" s="246"/>
    </row>
    <row r="170" spans="1:7" s="196" customFormat="1" ht="12" customHeight="1" x14ac:dyDescent="0.3">
      <c r="A170" s="261" t="s">
        <v>554</v>
      </c>
      <c r="B170" s="261"/>
      <c r="C170" s="261"/>
      <c r="D170" s="197"/>
      <c r="E170" s="197"/>
      <c r="F170" s="246"/>
      <c r="G170" s="246"/>
    </row>
    <row r="171" spans="1:7" s="196" customFormat="1" ht="12" customHeight="1" x14ac:dyDescent="0.3">
      <c r="A171" s="265" t="s">
        <v>556</v>
      </c>
      <c r="B171" s="265"/>
      <c r="C171" s="265"/>
      <c r="D171" s="197"/>
      <c r="E171" s="197"/>
      <c r="F171" s="246"/>
      <c r="G171" s="246"/>
    </row>
    <row r="172" spans="1:7" s="196" customFormat="1" ht="12" customHeight="1" x14ac:dyDescent="0.3">
      <c r="A172" s="262" t="s">
        <v>557</v>
      </c>
      <c r="B172" s="262"/>
      <c r="C172" s="262"/>
      <c r="D172" s="197"/>
      <c r="E172" s="197"/>
      <c r="F172" s="246"/>
      <c r="G172" s="246"/>
    </row>
    <row r="173" spans="1:7" s="196" customFormat="1" ht="25.2" customHeight="1" x14ac:dyDescent="0.3">
      <c r="A173" s="262" t="s">
        <v>558</v>
      </c>
      <c r="B173" s="262"/>
      <c r="C173" s="262"/>
      <c r="D173" s="197"/>
      <c r="E173" s="197"/>
      <c r="F173" s="246"/>
      <c r="G173" s="246"/>
    </row>
    <row r="174" spans="1:7" s="196" customFormat="1" ht="12" customHeight="1" x14ac:dyDescent="0.3">
      <c r="A174" s="262" t="s">
        <v>559</v>
      </c>
      <c r="B174" s="262"/>
      <c r="C174" s="262"/>
      <c r="D174" s="197"/>
      <c r="E174" s="197"/>
      <c r="F174" s="246"/>
      <c r="G174" s="246"/>
    </row>
    <row r="175" spans="1:7" s="196" customFormat="1" ht="12" customHeight="1" x14ac:dyDescent="0.3">
      <c r="A175" s="261" t="s">
        <v>560</v>
      </c>
      <c r="B175" s="261"/>
      <c r="C175" s="261"/>
      <c r="D175" s="197"/>
      <c r="E175" s="197"/>
      <c r="F175" s="252" t="str">
        <f>IF(OR(D175&gt;0,E175&gt;0),"prosimy wypełnić tabelę nr 4", " ")</f>
        <v xml:space="preserve"> </v>
      </c>
      <c r="G175" s="252"/>
    </row>
    <row r="176" spans="1:7" s="196" customFormat="1" ht="12" customHeight="1" x14ac:dyDescent="0.3">
      <c r="A176" s="261" t="s">
        <v>561</v>
      </c>
      <c r="B176" s="261"/>
      <c r="C176" s="261"/>
      <c r="D176" s="197"/>
      <c r="E176" s="197"/>
      <c r="F176" s="246"/>
      <c r="G176" s="246"/>
    </row>
    <row r="177" spans="1:7" s="196" customFormat="1" ht="12" customHeight="1" x14ac:dyDescent="0.3">
      <c r="A177" s="261" t="s">
        <v>562</v>
      </c>
      <c r="B177" s="261"/>
      <c r="C177" s="261"/>
      <c r="D177" s="197"/>
      <c r="E177" s="197"/>
      <c r="F177" s="246"/>
      <c r="G177" s="246"/>
    </row>
    <row r="178" spans="1:7" s="196" customFormat="1" ht="12" customHeight="1" x14ac:dyDescent="0.3">
      <c r="A178" s="261" t="s">
        <v>563</v>
      </c>
      <c r="B178" s="261"/>
      <c r="C178" s="261"/>
      <c r="D178" s="197"/>
      <c r="E178" s="197"/>
      <c r="F178" s="246"/>
      <c r="G178" s="246"/>
    </row>
    <row r="179" spans="1:7" s="196" customFormat="1" ht="12" customHeight="1" x14ac:dyDescent="0.3">
      <c r="A179" s="261" t="s">
        <v>564</v>
      </c>
      <c r="B179" s="261"/>
      <c r="C179" s="261"/>
      <c r="D179" s="197"/>
      <c r="E179" s="197"/>
      <c r="F179" s="246"/>
      <c r="G179" s="246"/>
    </row>
    <row r="180" spans="1:7" s="196" customFormat="1" ht="12" customHeight="1" x14ac:dyDescent="0.3">
      <c r="A180" s="265" t="s">
        <v>565</v>
      </c>
      <c r="B180" s="265"/>
      <c r="C180" s="265"/>
      <c r="D180" s="197"/>
      <c r="E180" s="197"/>
      <c r="F180" s="246"/>
      <c r="G180" s="246"/>
    </row>
    <row r="181" spans="1:7" s="196" customFormat="1" ht="12" customHeight="1" x14ac:dyDescent="0.3">
      <c r="A181" s="262" t="s">
        <v>557</v>
      </c>
      <c r="B181" s="262"/>
      <c r="C181" s="262"/>
      <c r="D181" s="197"/>
      <c r="E181" s="197"/>
      <c r="F181" s="246"/>
      <c r="G181" s="246"/>
    </row>
    <row r="182" spans="1:7" s="196" customFormat="1" ht="12" customHeight="1" x14ac:dyDescent="0.3">
      <c r="A182" s="261" t="s">
        <v>566</v>
      </c>
      <c r="B182" s="261"/>
      <c r="C182" s="261"/>
      <c r="D182" s="197"/>
      <c r="E182" s="197"/>
      <c r="F182" s="246"/>
      <c r="G182" s="246"/>
    </row>
    <row r="183" spans="1:7" s="196" customFormat="1" ht="12" customHeight="1" x14ac:dyDescent="0.3">
      <c r="A183" s="259" t="s">
        <v>519</v>
      </c>
      <c r="B183" s="259"/>
      <c r="C183" s="259"/>
      <c r="D183" s="197"/>
      <c r="E183" s="197"/>
      <c r="F183" s="246"/>
      <c r="G183" s="246"/>
    </row>
    <row r="184" spans="1:7" s="196" customFormat="1" ht="12" customHeight="1" x14ac:dyDescent="0.3">
      <c r="A184" s="259" t="s">
        <v>520</v>
      </c>
      <c r="B184" s="259"/>
      <c r="C184" s="259"/>
      <c r="D184" s="197"/>
      <c r="E184" s="197"/>
      <c r="F184" s="246"/>
      <c r="G184" s="246"/>
    </row>
    <row r="185" spans="1:7" s="196" customFormat="1" ht="12" customHeight="1" x14ac:dyDescent="0.3">
      <c r="A185" s="261" t="s">
        <v>521</v>
      </c>
      <c r="B185" s="261"/>
      <c r="C185" s="261"/>
      <c r="D185" s="197"/>
      <c r="E185" s="197"/>
      <c r="F185" s="246"/>
      <c r="G185" s="246"/>
    </row>
    <row r="186" spans="1:7" s="196" customFormat="1" ht="22.2" customHeight="1" x14ac:dyDescent="0.3">
      <c r="A186" s="262" t="s">
        <v>567</v>
      </c>
      <c r="B186" s="262"/>
      <c r="C186" s="262"/>
      <c r="D186" s="197"/>
      <c r="E186" s="197"/>
      <c r="F186" s="246"/>
      <c r="G186" s="246"/>
    </row>
    <row r="187" spans="1:7" s="196" customFormat="1" ht="12" customHeight="1" x14ac:dyDescent="0.3">
      <c r="A187" s="261" t="s">
        <v>566</v>
      </c>
      <c r="B187" s="261"/>
      <c r="C187" s="261"/>
      <c r="D187" s="197"/>
      <c r="E187" s="197"/>
      <c r="F187" s="246"/>
      <c r="G187" s="246"/>
    </row>
    <row r="188" spans="1:7" s="196" customFormat="1" ht="12" customHeight="1" x14ac:dyDescent="0.3">
      <c r="A188" s="259" t="s">
        <v>519</v>
      </c>
      <c r="B188" s="259"/>
      <c r="C188" s="259"/>
      <c r="D188" s="197"/>
      <c r="E188" s="197"/>
      <c r="F188" s="246"/>
      <c r="G188" s="246"/>
    </row>
    <row r="189" spans="1:7" s="196" customFormat="1" ht="12" customHeight="1" x14ac:dyDescent="0.3">
      <c r="A189" s="259" t="s">
        <v>520</v>
      </c>
      <c r="B189" s="259"/>
      <c r="C189" s="259"/>
      <c r="D189" s="197"/>
      <c r="E189" s="197"/>
      <c r="F189" s="246"/>
      <c r="G189" s="246"/>
    </row>
    <row r="190" spans="1:7" s="196" customFormat="1" ht="12" customHeight="1" x14ac:dyDescent="0.3">
      <c r="A190" s="261" t="s">
        <v>521</v>
      </c>
      <c r="B190" s="261"/>
      <c r="C190" s="261"/>
      <c r="D190" s="197"/>
      <c r="E190" s="197"/>
      <c r="F190" s="246"/>
      <c r="G190" s="246"/>
    </row>
    <row r="191" spans="1:7" s="196" customFormat="1" ht="12" customHeight="1" x14ac:dyDescent="0.3">
      <c r="A191" s="262" t="s">
        <v>559</v>
      </c>
      <c r="B191" s="262"/>
      <c r="C191" s="262"/>
      <c r="D191" s="197"/>
      <c r="E191" s="197"/>
      <c r="F191" s="246"/>
      <c r="G191" s="246"/>
    </row>
    <row r="192" spans="1:7" s="196" customFormat="1" ht="12" customHeight="1" x14ac:dyDescent="0.3">
      <c r="A192" s="261" t="s">
        <v>560</v>
      </c>
      <c r="B192" s="261"/>
      <c r="C192" s="261"/>
      <c r="D192" s="197"/>
      <c r="E192" s="197"/>
      <c r="F192" s="252" t="str">
        <f>IF(OR(D192&gt;0,E192&gt;0),"prosimy wypełnić tabelę nr 4", " ")</f>
        <v xml:space="preserve"> </v>
      </c>
      <c r="G192" s="252"/>
    </row>
    <row r="193" spans="1:7" s="196" customFormat="1" ht="12" customHeight="1" x14ac:dyDescent="0.3">
      <c r="A193" s="261" t="s">
        <v>561</v>
      </c>
      <c r="B193" s="261"/>
      <c r="C193" s="261"/>
      <c r="D193" s="197"/>
      <c r="E193" s="197"/>
      <c r="F193" s="246"/>
      <c r="G193" s="246"/>
    </row>
    <row r="194" spans="1:7" s="196" customFormat="1" ht="12" customHeight="1" x14ac:dyDescent="0.3">
      <c r="A194" s="261" t="s">
        <v>562</v>
      </c>
      <c r="B194" s="261"/>
      <c r="C194" s="261"/>
      <c r="D194" s="197"/>
      <c r="E194" s="197"/>
      <c r="F194" s="246"/>
      <c r="G194" s="246"/>
    </row>
    <row r="195" spans="1:7" s="196" customFormat="1" ht="12" customHeight="1" x14ac:dyDescent="0.3">
      <c r="A195" s="261" t="s">
        <v>568</v>
      </c>
      <c r="B195" s="261"/>
      <c r="C195" s="261"/>
      <c r="D195" s="197"/>
      <c r="E195" s="197"/>
      <c r="F195" s="246"/>
      <c r="G195" s="246"/>
    </row>
    <row r="196" spans="1:7" s="196" customFormat="1" ht="12" customHeight="1" x14ac:dyDescent="0.3">
      <c r="A196" s="259" t="s">
        <v>519</v>
      </c>
      <c r="B196" s="259"/>
      <c r="C196" s="259"/>
      <c r="D196" s="197"/>
      <c r="E196" s="197"/>
      <c r="F196" s="246"/>
      <c r="G196" s="246"/>
    </row>
    <row r="197" spans="1:7" s="196" customFormat="1" ht="12" customHeight="1" x14ac:dyDescent="0.3">
      <c r="A197" s="259" t="s">
        <v>520</v>
      </c>
      <c r="B197" s="259"/>
      <c r="C197" s="259"/>
      <c r="D197" s="197"/>
      <c r="E197" s="197"/>
      <c r="F197" s="246"/>
      <c r="G197" s="246"/>
    </row>
    <row r="198" spans="1:7" s="196" customFormat="1" ht="12" customHeight="1" x14ac:dyDescent="0.3">
      <c r="A198" s="261" t="s">
        <v>569</v>
      </c>
      <c r="B198" s="261"/>
      <c r="C198" s="261"/>
      <c r="D198" s="197"/>
      <c r="E198" s="197"/>
      <c r="F198" s="246"/>
      <c r="G198" s="246"/>
    </row>
    <row r="199" spans="1:7" s="196" customFormat="1" ht="12" customHeight="1" x14ac:dyDescent="0.3">
      <c r="A199" s="261" t="s">
        <v>570</v>
      </c>
      <c r="B199" s="261"/>
      <c r="C199" s="261"/>
      <c r="D199" s="197"/>
      <c r="E199" s="197"/>
      <c r="F199" s="246"/>
      <c r="G199" s="246"/>
    </row>
    <row r="200" spans="1:7" s="196" customFormat="1" ht="12" customHeight="1" x14ac:dyDescent="0.3">
      <c r="A200" s="261" t="s">
        <v>571</v>
      </c>
      <c r="B200" s="261"/>
      <c r="C200" s="261"/>
      <c r="D200" s="197"/>
      <c r="E200" s="197"/>
      <c r="F200" s="246"/>
      <c r="G200" s="246"/>
    </row>
    <row r="201" spans="1:7" s="196" customFormat="1" ht="12" customHeight="1" x14ac:dyDescent="0.3">
      <c r="A201" s="261" t="s">
        <v>572</v>
      </c>
      <c r="B201" s="261"/>
      <c r="C201" s="261"/>
      <c r="D201" s="197"/>
      <c r="E201" s="197"/>
      <c r="F201" s="246"/>
      <c r="G201" s="246"/>
    </row>
    <row r="202" spans="1:7" s="196" customFormat="1" ht="12" customHeight="1" x14ac:dyDescent="0.3">
      <c r="A202" s="261" t="s">
        <v>573</v>
      </c>
      <c r="B202" s="261"/>
      <c r="C202" s="261"/>
      <c r="D202" s="197"/>
      <c r="E202" s="197"/>
      <c r="F202" s="246"/>
      <c r="G202" s="246"/>
    </row>
    <row r="203" spans="1:7" s="196" customFormat="1" ht="12" customHeight="1" x14ac:dyDescent="0.3">
      <c r="A203" s="262" t="s">
        <v>574</v>
      </c>
      <c r="B203" s="262"/>
      <c r="C203" s="262"/>
      <c r="D203" s="197"/>
      <c r="E203" s="197"/>
      <c r="F203" s="251" t="str">
        <f>IF(OR(D203&gt;0,E203&gt;0),"prosimy wypełnić tabelę nr 5", " ")</f>
        <v xml:space="preserve"> </v>
      </c>
      <c r="G203" s="251"/>
    </row>
    <row r="204" spans="1:7" s="196" customFormat="1" ht="12" customHeight="1" x14ac:dyDescent="0.3">
      <c r="A204" s="265" t="s">
        <v>575</v>
      </c>
      <c r="B204" s="265"/>
      <c r="C204" s="265"/>
      <c r="D204" s="197"/>
      <c r="E204" s="197"/>
      <c r="F204" s="280" t="str">
        <f>IF(OR(D204&gt;0,E204&gt;0),"prosimy wypełnić tabelę nr 6", " ")</f>
        <v xml:space="preserve"> </v>
      </c>
      <c r="G204" s="251"/>
    </row>
    <row r="205" spans="1:7" s="196" customFormat="1" ht="12" customHeight="1" x14ac:dyDescent="0.3">
      <c r="A205" s="262" t="s">
        <v>576</v>
      </c>
      <c r="B205" s="262"/>
      <c r="C205" s="262"/>
      <c r="D205" s="197"/>
      <c r="E205" s="197"/>
      <c r="F205" s="246"/>
      <c r="G205" s="246"/>
    </row>
    <row r="206" spans="1:7" s="196" customFormat="1" ht="12" customHeight="1" x14ac:dyDescent="0.3">
      <c r="A206" s="262" t="s">
        <v>509</v>
      </c>
      <c r="B206" s="262"/>
      <c r="C206" s="262"/>
      <c r="D206" s="197"/>
      <c r="E206" s="197"/>
      <c r="F206" s="246"/>
      <c r="G206" s="246"/>
    </row>
    <row r="207" spans="1:7" s="196" customFormat="1" ht="12" customHeight="1" x14ac:dyDescent="0.3">
      <c r="A207" s="261" t="s">
        <v>577</v>
      </c>
      <c r="B207" s="261"/>
      <c r="C207" s="261"/>
      <c r="D207" s="197"/>
      <c r="E207" s="197"/>
      <c r="F207" s="246"/>
      <c r="G207" s="246"/>
    </row>
    <row r="208" spans="1:7" s="196" customFormat="1" ht="12" customHeight="1" x14ac:dyDescent="0.3">
      <c r="A208" s="261" t="s">
        <v>578</v>
      </c>
      <c r="B208" s="261"/>
      <c r="C208" s="261"/>
      <c r="D208" s="197"/>
      <c r="E208" s="197"/>
      <c r="F208" s="246"/>
      <c r="G208" s="246"/>
    </row>
    <row r="209" spans="1:10" s="196" customFormat="1" ht="12" customHeight="1" x14ac:dyDescent="0.3">
      <c r="A209" s="258" t="s">
        <v>337</v>
      </c>
      <c r="B209" s="258"/>
      <c r="C209" s="258"/>
      <c r="D209" s="213">
        <f>D162+D150</f>
        <v>0</v>
      </c>
      <c r="E209" s="213">
        <f>E162+E150</f>
        <v>0</v>
      </c>
      <c r="F209" s="246"/>
      <c r="G209" s="246"/>
    </row>
    <row r="210" spans="1:10" s="196" customFormat="1" ht="12" customHeight="1" x14ac:dyDescent="0.3">
      <c r="F210" s="246"/>
      <c r="G210" s="246"/>
    </row>
    <row r="211" spans="1:10" s="196" customFormat="1" ht="12" customHeight="1" x14ac:dyDescent="0.3">
      <c r="A211" s="257" t="s">
        <v>452</v>
      </c>
      <c r="B211" s="257"/>
      <c r="C211" s="257"/>
      <c r="D211" s="211">
        <f>$D$7</f>
        <v>2023</v>
      </c>
      <c r="E211" s="211">
        <f>$E$7</f>
        <v>2024</v>
      </c>
      <c r="F211" s="246"/>
      <c r="G211" s="246"/>
    </row>
    <row r="212" spans="1:10" s="196" customFormat="1" ht="12" customHeight="1" x14ac:dyDescent="0.3">
      <c r="A212" s="249" t="s">
        <v>596</v>
      </c>
      <c r="B212" s="249"/>
      <c r="C212" s="249"/>
      <c r="D212" s="214" t="str">
        <f>IF(D28&gt;0,D28,"nie dotyczy")</f>
        <v>nie dotyczy</v>
      </c>
      <c r="E212" s="214" t="str">
        <f>IF(E28&gt;0,E28,"nie dotyczy")</f>
        <v>nie dotyczy</v>
      </c>
      <c r="F212" s="246"/>
      <c r="G212" s="246"/>
    </row>
    <row r="213" spans="1:10" s="196" customFormat="1" ht="12" customHeight="1" x14ac:dyDescent="0.3">
      <c r="A213" s="243" t="s">
        <v>647</v>
      </c>
      <c r="B213" s="244"/>
      <c r="C213" s="245"/>
      <c r="D213" s="197"/>
      <c r="E213" s="197"/>
      <c r="F213" s="248" t="str">
        <f>IF(OR(D28&gt;0,E28&gt;0),"Prosimy o uzupełnienie. Należy skorzystać z listy, można dopisać własne pozycje."," ")</f>
        <v xml:space="preserve"> </v>
      </c>
      <c r="G213" s="248"/>
      <c r="H213" s="305" t="str">
        <f>IF(AND(D212="nie dotyczy",E212="nie dotyczy"), "", IF(AND(OR(D212="nie dotyczy",D212=SUM(D213:D218)), OR(E212="nie dotyczy",E212=SUM(E213:E218))), "", "UWAGA. Suma kwot wpisanych w pozycjach od a. do f. nie jest równa kwocie dotacji łącznie."))</f>
        <v/>
      </c>
      <c r="I213" s="305"/>
      <c r="J213" s="305"/>
    </row>
    <row r="214" spans="1:10" s="196" customFormat="1" ht="12" customHeight="1" x14ac:dyDescent="0.3">
      <c r="A214" s="243" t="s">
        <v>648</v>
      </c>
      <c r="B214" s="244"/>
      <c r="C214" s="245"/>
      <c r="D214" s="197"/>
      <c r="E214" s="197"/>
      <c r="F214" s="248"/>
      <c r="G214" s="248"/>
      <c r="H214" s="305"/>
      <c r="I214" s="305"/>
      <c r="J214" s="305"/>
    </row>
    <row r="215" spans="1:10" s="196" customFormat="1" ht="12" customHeight="1" x14ac:dyDescent="0.3">
      <c r="A215" s="243" t="s">
        <v>649</v>
      </c>
      <c r="B215" s="244"/>
      <c r="C215" s="245"/>
      <c r="D215" s="197"/>
      <c r="E215" s="197"/>
      <c r="F215" s="248"/>
      <c r="G215" s="248"/>
      <c r="H215" s="305"/>
      <c r="I215" s="305"/>
      <c r="J215" s="305"/>
    </row>
    <row r="216" spans="1:10" s="196" customFormat="1" ht="12" customHeight="1" x14ac:dyDescent="0.3">
      <c r="A216" s="247" t="s">
        <v>650</v>
      </c>
      <c r="B216" s="247"/>
      <c r="C216" s="247"/>
      <c r="D216" s="197"/>
      <c r="E216" s="197"/>
      <c r="F216" s="248"/>
      <c r="G216" s="248"/>
      <c r="H216" s="305"/>
      <c r="I216" s="305"/>
      <c r="J216" s="305"/>
    </row>
    <row r="217" spans="1:10" s="196" customFormat="1" ht="12" customHeight="1" x14ac:dyDescent="0.3">
      <c r="A217" s="247" t="s">
        <v>651</v>
      </c>
      <c r="B217" s="247"/>
      <c r="C217" s="247"/>
      <c r="D217" s="197"/>
      <c r="E217" s="197"/>
      <c r="F217" s="248"/>
      <c r="G217" s="248"/>
      <c r="H217" s="305"/>
      <c r="I217" s="305"/>
      <c r="J217" s="305"/>
    </row>
    <row r="218" spans="1:10" s="196" customFormat="1" ht="12" customHeight="1" x14ac:dyDescent="0.3">
      <c r="A218" s="247" t="s">
        <v>652</v>
      </c>
      <c r="B218" s="247"/>
      <c r="C218" s="247"/>
      <c r="D218" s="197"/>
      <c r="E218" s="197"/>
      <c r="F218" s="248"/>
      <c r="G218" s="248"/>
      <c r="H218" s="305"/>
      <c r="I218" s="305"/>
      <c r="J218" s="305"/>
    </row>
    <row r="219" spans="1:10" s="196" customFormat="1" ht="12" customHeight="1" x14ac:dyDescent="0.3">
      <c r="F219" s="246"/>
      <c r="G219" s="246"/>
    </row>
    <row r="220" spans="1:10" s="196" customFormat="1" ht="12" customHeight="1" x14ac:dyDescent="0.3">
      <c r="A220" s="257" t="s">
        <v>588</v>
      </c>
      <c r="B220" s="257"/>
      <c r="C220" s="257"/>
      <c r="D220" s="211">
        <f>$D$7</f>
        <v>2023</v>
      </c>
      <c r="E220" s="211">
        <f>$E$7</f>
        <v>2024</v>
      </c>
      <c r="F220" s="246"/>
      <c r="G220" s="246"/>
    </row>
    <row r="221" spans="1:10" s="196" customFormat="1" ht="12" customHeight="1" x14ac:dyDescent="0.3">
      <c r="A221" s="243" t="s">
        <v>591</v>
      </c>
      <c r="B221" s="244"/>
      <c r="C221" s="245"/>
      <c r="D221" s="197"/>
      <c r="E221" s="197"/>
      <c r="F221" s="277" t="str">
        <f>IF(OR(D28&gt;0,E28&gt;0),"Prosimy o uzupełnienie. Należy skorzystać z listy, można dopisać własne pozycje."," ")</f>
        <v xml:space="preserve"> </v>
      </c>
      <c r="G221" s="248"/>
    </row>
    <row r="222" spans="1:10" s="196" customFormat="1" ht="12" customHeight="1" x14ac:dyDescent="0.3">
      <c r="A222" s="243" t="s">
        <v>592</v>
      </c>
      <c r="B222" s="244"/>
      <c r="C222" s="245"/>
      <c r="D222" s="197"/>
      <c r="E222" s="197"/>
      <c r="F222" s="277"/>
      <c r="G222" s="248"/>
    </row>
    <row r="223" spans="1:10" s="196" customFormat="1" ht="12" customHeight="1" x14ac:dyDescent="0.3">
      <c r="A223" s="247" t="s">
        <v>439</v>
      </c>
      <c r="B223" s="247"/>
      <c r="C223" s="247"/>
      <c r="D223" s="197"/>
      <c r="E223" s="197"/>
      <c r="F223" s="277"/>
      <c r="G223" s="248"/>
    </row>
    <row r="224" spans="1:10" s="196" customFormat="1" ht="12" customHeight="1" x14ac:dyDescent="0.3">
      <c r="A224" s="247" t="s">
        <v>439</v>
      </c>
      <c r="B224" s="247"/>
      <c r="C224" s="247"/>
      <c r="D224" s="197"/>
      <c r="E224" s="197"/>
      <c r="F224" s="277"/>
      <c r="G224" s="248"/>
    </row>
    <row r="225" spans="1:12" s="196" customFormat="1" ht="12" customHeight="1" x14ac:dyDescent="0.3">
      <c r="F225" s="278"/>
      <c r="G225" s="278"/>
    </row>
    <row r="226" spans="1:12" s="196" customFormat="1" ht="12" customHeight="1" x14ac:dyDescent="0.3">
      <c r="A226" s="257" t="s">
        <v>455</v>
      </c>
      <c r="B226" s="257"/>
      <c r="C226" s="257"/>
      <c r="D226" s="211">
        <f>$D$7</f>
        <v>2023</v>
      </c>
      <c r="E226" s="211">
        <f>$E$7</f>
        <v>2024</v>
      </c>
      <c r="F226" s="281"/>
      <c r="G226" s="246"/>
    </row>
    <row r="227" spans="1:12" s="196" customFormat="1" ht="12" customHeight="1" x14ac:dyDescent="0.3">
      <c r="A227" s="249" t="s">
        <v>589</v>
      </c>
      <c r="B227" s="249"/>
      <c r="C227" s="249"/>
      <c r="D227" s="214" t="str">
        <f>IF(D68&gt;0,D68,"nie dotyczy")</f>
        <v>nie dotyczy</v>
      </c>
      <c r="E227" s="214" t="str">
        <f>IF(E68&gt;0,E68,"nie dotyczy")</f>
        <v>nie dotyczy</v>
      </c>
      <c r="F227" s="277" t="str">
        <f>IF(OR(D68&gt;0,E68&gt;0),"Prosimy o podanie kwoty rocznej amortyzacji"," ")</f>
        <v xml:space="preserve"> </v>
      </c>
      <c r="G227" s="248"/>
    </row>
    <row r="228" spans="1:12" s="196" customFormat="1" ht="12" customHeight="1" x14ac:dyDescent="0.3">
      <c r="A228" s="249" t="s">
        <v>451</v>
      </c>
      <c r="B228" s="249"/>
      <c r="C228" s="249"/>
      <c r="D228" s="197"/>
      <c r="E228" s="197"/>
      <c r="F228" s="277"/>
      <c r="G228" s="248"/>
    </row>
    <row r="229" spans="1:12" s="196" customFormat="1" ht="12" customHeight="1" x14ac:dyDescent="0.3">
      <c r="F229" s="246"/>
      <c r="G229" s="246"/>
    </row>
    <row r="230" spans="1:12" s="196" customFormat="1" ht="25.2" customHeight="1" x14ac:dyDescent="0.3">
      <c r="A230" s="257" t="s">
        <v>579</v>
      </c>
      <c r="B230" s="257"/>
      <c r="C230" s="257"/>
      <c r="D230" s="211">
        <f>$D$7</f>
        <v>2023</v>
      </c>
      <c r="E230" s="211">
        <f>$E$7</f>
        <v>2024</v>
      </c>
      <c r="F230" s="246"/>
      <c r="G230" s="246"/>
    </row>
    <row r="231" spans="1:12" s="196" customFormat="1" ht="12" customHeight="1" x14ac:dyDescent="0.3">
      <c r="A231" s="249" t="s">
        <v>653</v>
      </c>
      <c r="B231" s="249"/>
      <c r="C231" s="249"/>
      <c r="D231" s="214" t="str">
        <f>IF(D145&gt;(D8+D28)/8,D145,"nie dotyczy")</f>
        <v>nie dotyczy</v>
      </c>
      <c r="E231" s="214" t="str">
        <f>IF(E145&gt;(E8+E28)/8,E145,"nie dotyczy")</f>
        <v>nie dotyczy</v>
      </c>
      <c r="F231" s="253" t="str">
        <f>IF(OR(D145&gt;(D8+D28)/8,E145&gt;(E8+E28)/8),"Prosimy o uzupełnienie. Można skorzystać z zaproponowanej listy lub stworzyć własną."," ")</f>
        <v xml:space="preserve"> </v>
      </c>
      <c r="G231" s="254"/>
      <c r="H231" s="250" t="str">
        <f>IF(AND(D231="nie dotyczy",E231="nie dotyczy"), "", IF(AND(OR(D231="nie dotyczy",D231=SUM(D232:D235)), OR(E231="nie dotyczy",E231=SUM(E232:E235))), "", "UWAGA. Suma kwot wpisanych w pozycjach od a. do d. nie jest równa kwocie rozliczeń międzyokresowych łącznie."))</f>
        <v/>
      </c>
      <c r="I231" s="250"/>
      <c r="J231" s="250"/>
    </row>
    <row r="232" spans="1:12" s="196" customFormat="1" ht="12" customHeight="1" x14ac:dyDescent="0.3">
      <c r="A232" s="247" t="s">
        <v>657</v>
      </c>
      <c r="B232" s="247"/>
      <c r="C232" s="247"/>
      <c r="D232" s="197"/>
      <c r="E232" s="197"/>
      <c r="F232" s="253"/>
      <c r="G232" s="254"/>
      <c r="H232" s="250"/>
      <c r="I232" s="250"/>
      <c r="J232" s="250"/>
    </row>
    <row r="233" spans="1:12" s="196" customFormat="1" ht="12" customHeight="1" x14ac:dyDescent="0.3">
      <c r="A233" s="247" t="s">
        <v>658</v>
      </c>
      <c r="B233" s="247"/>
      <c r="C233" s="247"/>
      <c r="D233" s="197"/>
      <c r="E233" s="197"/>
      <c r="F233" s="253"/>
      <c r="G233" s="254"/>
      <c r="H233" s="250"/>
      <c r="I233" s="250"/>
      <c r="J233" s="250"/>
    </row>
    <row r="234" spans="1:12" s="196" customFormat="1" ht="12" customHeight="1" x14ac:dyDescent="0.3">
      <c r="A234" s="247" t="s">
        <v>659</v>
      </c>
      <c r="B234" s="247"/>
      <c r="C234" s="247"/>
      <c r="D234" s="197"/>
      <c r="E234" s="197"/>
      <c r="F234" s="253"/>
      <c r="G234" s="254"/>
      <c r="H234" s="250"/>
      <c r="I234" s="250"/>
      <c r="J234" s="250"/>
    </row>
    <row r="235" spans="1:12" s="196" customFormat="1" ht="12" customHeight="1" x14ac:dyDescent="0.3">
      <c r="A235" s="247" t="s">
        <v>650</v>
      </c>
      <c r="B235" s="247"/>
      <c r="C235" s="247"/>
      <c r="D235" s="197"/>
      <c r="E235" s="197"/>
      <c r="F235" s="253"/>
      <c r="G235" s="254"/>
      <c r="H235" s="250"/>
      <c r="I235" s="250"/>
      <c r="J235" s="250"/>
    </row>
    <row r="236" spans="1:12" s="196" customFormat="1" ht="12" customHeight="1" x14ac:dyDescent="0.3"/>
    <row r="237" spans="1:12" s="196" customFormat="1" ht="25.2" customHeight="1" x14ac:dyDescent="0.3">
      <c r="A237" s="275" t="s">
        <v>598</v>
      </c>
      <c r="B237" s="275"/>
      <c r="C237" s="275"/>
      <c r="D237" s="275"/>
      <c r="E237" s="276" t="s">
        <v>590</v>
      </c>
      <c r="F237" s="276"/>
      <c r="G237" s="276"/>
    </row>
    <row r="238" spans="1:12" s="196" customFormat="1" ht="25.2" customHeight="1" x14ac:dyDescent="0.3">
      <c r="A238" s="215" t="s">
        <v>580</v>
      </c>
      <c r="B238" s="216" t="s">
        <v>581</v>
      </c>
      <c r="C238" s="216" t="s">
        <v>443</v>
      </c>
      <c r="D238" s="216" t="s">
        <v>444</v>
      </c>
      <c r="E238" s="216" t="s">
        <v>438</v>
      </c>
      <c r="F238" s="216" t="s">
        <v>437</v>
      </c>
      <c r="G238" s="216" t="s">
        <v>582</v>
      </c>
    </row>
    <row r="239" spans="1:12" s="196" customFormat="1" ht="12" customHeight="1" x14ac:dyDescent="0.3">
      <c r="A239" s="200" t="s">
        <v>583</v>
      </c>
      <c r="B239" s="201"/>
      <c r="C239" s="197"/>
      <c r="D239" s="197"/>
      <c r="E239" s="202"/>
      <c r="F239" s="201"/>
      <c r="G239" s="203" t="s">
        <v>584</v>
      </c>
      <c r="H239" s="308" t="s">
        <v>623</v>
      </c>
      <c r="I239" s="309"/>
      <c r="J239" s="309"/>
      <c r="L239" s="204" t="s">
        <v>587</v>
      </c>
    </row>
    <row r="240" spans="1:12" s="196" customFormat="1" ht="12" customHeight="1" x14ac:dyDescent="0.3">
      <c r="A240" s="200" t="s">
        <v>440</v>
      </c>
      <c r="B240" s="205"/>
      <c r="C240" s="197"/>
      <c r="D240" s="197"/>
      <c r="E240" s="202"/>
      <c r="F240" s="205"/>
      <c r="G240" s="203" t="s">
        <v>584</v>
      </c>
      <c r="H240" s="308"/>
      <c r="I240" s="309"/>
      <c r="J240" s="309"/>
      <c r="L240" s="204" t="s">
        <v>584</v>
      </c>
    </row>
    <row r="241" spans="1:12" s="196" customFormat="1" ht="12" customHeight="1" x14ac:dyDescent="0.3">
      <c r="A241" s="200" t="s">
        <v>585</v>
      </c>
      <c r="B241" s="205"/>
      <c r="C241" s="197"/>
      <c r="D241" s="197"/>
      <c r="E241" s="202"/>
      <c r="F241" s="205"/>
      <c r="G241" s="203" t="s">
        <v>584</v>
      </c>
      <c r="H241" s="308"/>
      <c r="I241" s="309"/>
      <c r="J241" s="309"/>
      <c r="L241" s="204"/>
    </row>
    <row r="242" spans="1:12" s="196" customFormat="1" ht="12" customHeight="1" x14ac:dyDescent="0.3">
      <c r="A242" s="200" t="s">
        <v>586</v>
      </c>
      <c r="B242" s="205"/>
      <c r="C242" s="197"/>
      <c r="D242" s="197"/>
      <c r="E242" s="202"/>
      <c r="F242" s="205"/>
      <c r="G242" s="203" t="s">
        <v>584</v>
      </c>
      <c r="H242" s="308"/>
      <c r="I242" s="309"/>
      <c r="J242" s="309"/>
      <c r="L242" s="204"/>
    </row>
    <row r="243" spans="1:12" s="196" customFormat="1" ht="12" customHeight="1" x14ac:dyDescent="0.3">
      <c r="A243" s="200" t="s">
        <v>439</v>
      </c>
      <c r="B243" s="205"/>
      <c r="C243" s="197"/>
      <c r="D243" s="197"/>
      <c r="E243" s="202"/>
      <c r="F243" s="205"/>
      <c r="G243" s="203" t="s">
        <v>584</v>
      </c>
      <c r="H243" s="308"/>
      <c r="I243" s="309"/>
      <c r="J243" s="309"/>
    </row>
    <row r="244" spans="1:12" s="196" customFormat="1" ht="12" customHeight="1" x14ac:dyDescent="0.3">
      <c r="A244" s="206"/>
      <c r="B244" s="207"/>
      <c r="C244" s="208"/>
      <c r="D244" s="208"/>
      <c r="E244" s="209"/>
      <c r="F244" s="246"/>
      <c r="G244" s="246"/>
    </row>
    <row r="245" spans="1:12" s="196" customFormat="1" ht="12" customHeight="1" x14ac:dyDescent="0.3">
      <c r="A245" s="257" t="s">
        <v>453</v>
      </c>
      <c r="B245" s="257"/>
      <c r="C245" s="257"/>
      <c r="D245" s="211">
        <f>$D$7</f>
        <v>2023</v>
      </c>
      <c r="E245" s="211">
        <f>$E$7</f>
        <v>2024</v>
      </c>
      <c r="F245" s="246"/>
      <c r="G245" s="246"/>
    </row>
    <row r="246" spans="1:12" s="196" customFormat="1" ht="12" customHeight="1" x14ac:dyDescent="0.3">
      <c r="A246" s="249" t="s">
        <v>597</v>
      </c>
      <c r="B246" s="249"/>
      <c r="C246" s="249"/>
      <c r="D246" s="214" t="str">
        <f>IF(D203&gt;0,D203,"nie dotyczy")</f>
        <v>nie dotyczy</v>
      </c>
      <c r="E246" s="214" t="str">
        <f>IF(E203&gt;0,E203,"nie dotyczy")</f>
        <v>nie dotyczy</v>
      </c>
      <c r="F246" s="304" t="str">
        <f>IF(OR(D203&gt;0,E203&gt;0),"Prosimy o uzupełnienie. Można skorzystać z zaproponowanej listy lub stworzyć własną."," ")</f>
        <v xml:space="preserve"> </v>
      </c>
      <c r="G246" s="303"/>
      <c r="H246" s="254" t="str">
        <f>IF(AND(D246="nie dotyczy",E246="nie dotyczy"), "", IF(AND(OR(D246="nie dotyczy",D246=SUM(D247:D250)), OR(E246="nie dotyczy",E246=SUM(E247:E250))), "", "UWAGA. Suma kwot wpisanych w pozycjach od a. do d. nie jest równa kwocie funduszy specjalnych łącznie."))</f>
        <v/>
      </c>
      <c r="I246" s="254"/>
      <c r="J246" s="254"/>
    </row>
    <row r="247" spans="1:12" s="196" customFormat="1" ht="12" customHeight="1" x14ac:dyDescent="0.3">
      <c r="A247" s="247" t="s">
        <v>654</v>
      </c>
      <c r="B247" s="247"/>
      <c r="C247" s="247"/>
      <c r="D247" s="197"/>
      <c r="E247" s="197"/>
      <c r="F247" s="304"/>
      <c r="G247" s="303"/>
      <c r="H247" s="254"/>
      <c r="I247" s="254"/>
      <c r="J247" s="254"/>
    </row>
    <row r="248" spans="1:12" s="196" customFormat="1" ht="12" customHeight="1" x14ac:dyDescent="0.3">
      <c r="A248" s="247" t="s">
        <v>655</v>
      </c>
      <c r="B248" s="247"/>
      <c r="C248" s="247"/>
      <c r="D248" s="197"/>
      <c r="E248" s="197"/>
      <c r="F248" s="304"/>
      <c r="G248" s="303"/>
      <c r="H248" s="254"/>
      <c r="I248" s="254"/>
      <c r="J248" s="254"/>
    </row>
    <row r="249" spans="1:12" s="196" customFormat="1" ht="12" customHeight="1" x14ac:dyDescent="0.3">
      <c r="A249" s="247" t="s">
        <v>656</v>
      </c>
      <c r="B249" s="247"/>
      <c r="C249" s="247"/>
      <c r="D249" s="197"/>
      <c r="E249" s="197"/>
      <c r="F249" s="304"/>
      <c r="G249" s="303"/>
      <c r="H249" s="254"/>
      <c r="I249" s="254"/>
      <c r="J249" s="254"/>
    </row>
    <row r="250" spans="1:12" s="196" customFormat="1" ht="12" customHeight="1" x14ac:dyDescent="0.3">
      <c r="A250" s="247" t="s">
        <v>650</v>
      </c>
      <c r="B250" s="247"/>
      <c r="C250" s="247"/>
      <c r="D250" s="197"/>
      <c r="E250" s="197"/>
      <c r="F250" s="304"/>
      <c r="G250" s="303"/>
      <c r="H250" s="254"/>
      <c r="I250" s="254"/>
      <c r="J250" s="254"/>
    </row>
    <row r="251" spans="1:12" s="196" customFormat="1" ht="12" customHeight="1" x14ac:dyDescent="0.3">
      <c r="F251" s="246"/>
      <c r="G251" s="246"/>
    </row>
    <row r="252" spans="1:12" s="196" customFormat="1" ht="25.2" customHeight="1" x14ac:dyDescent="0.3">
      <c r="A252" s="257" t="s">
        <v>454</v>
      </c>
      <c r="B252" s="257"/>
      <c r="C252" s="257"/>
      <c r="D252" s="211">
        <f>$D$7</f>
        <v>2023</v>
      </c>
      <c r="E252" s="211">
        <f>$E$7</f>
        <v>2024</v>
      </c>
      <c r="F252" s="246"/>
      <c r="G252" s="246"/>
    </row>
    <row r="253" spans="1:12" s="196" customFormat="1" ht="12" customHeight="1" x14ac:dyDescent="0.3">
      <c r="A253" s="249" t="s">
        <v>88</v>
      </c>
      <c r="B253" s="249"/>
      <c r="C253" s="249"/>
      <c r="D253" s="214" t="str">
        <f>IF(D204&gt;0,D204,"nie dotyczy")</f>
        <v>nie dotyczy</v>
      </c>
      <c r="E253" s="214" t="str">
        <f>IF(E204&gt;0,E204,"nie dotyczy")</f>
        <v>nie dotyczy</v>
      </c>
      <c r="F253" s="304" t="str">
        <f>IF(OR(D204&gt;0,E204&gt;0),"Prosimy o uzupełnienie. Należy skorzystać z listy, można dopisać własne pozycje."," ")</f>
        <v xml:space="preserve"> </v>
      </c>
      <c r="G253" s="303"/>
      <c r="H253" s="250" t="str">
        <f>IF(AND(D253="nie dotyczy",E253="nie dotyczy"), "", IF(AND(OR(D253="nie dotyczy",D253=SUM(D254:D257)), OR(E253="nie dotyczy",E253=SUM(E254:E257))), "", "UWAGA. Suma kwot wpisanych w pozycjach od a. do d. nie jest równa kwocie rozliczeń międzyokresowych łącznie."))</f>
        <v/>
      </c>
      <c r="I253" s="250"/>
      <c r="J253" s="250"/>
    </row>
    <row r="254" spans="1:12" s="196" customFormat="1" ht="12" customHeight="1" x14ac:dyDescent="0.3">
      <c r="A254" s="242" t="s">
        <v>660</v>
      </c>
      <c r="B254" s="242"/>
      <c r="C254" s="242"/>
      <c r="D254" s="197"/>
      <c r="E254" s="197"/>
      <c r="F254" s="304"/>
      <c r="G254" s="303"/>
      <c r="H254" s="250"/>
      <c r="I254" s="250"/>
      <c r="J254" s="250"/>
    </row>
    <row r="255" spans="1:12" s="196" customFormat="1" ht="12" customHeight="1" x14ac:dyDescent="0.3">
      <c r="A255" s="242" t="s">
        <v>661</v>
      </c>
      <c r="B255" s="242"/>
      <c r="C255" s="242"/>
      <c r="D255" s="197"/>
      <c r="E255" s="197"/>
      <c r="F255" s="304"/>
      <c r="G255" s="303"/>
      <c r="H255" s="250"/>
      <c r="I255" s="250"/>
      <c r="J255" s="250"/>
    </row>
    <row r="256" spans="1:12" s="196" customFormat="1" ht="12" customHeight="1" x14ac:dyDescent="0.3">
      <c r="A256" s="247" t="s">
        <v>662</v>
      </c>
      <c r="B256" s="247"/>
      <c r="C256" s="247"/>
      <c r="D256" s="197"/>
      <c r="E256" s="197"/>
      <c r="F256" s="304"/>
      <c r="G256" s="303"/>
      <c r="H256" s="250"/>
      <c r="I256" s="250"/>
      <c r="J256" s="250"/>
    </row>
    <row r="257" spans="1:10" s="196" customFormat="1" ht="12" customHeight="1" x14ac:dyDescent="0.3">
      <c r="A257" s="247" t="s">
        <v>650</v>
      </c>
      <c r="B257" s="247"/>
      <c r="C257" s="247"/>
      <c r="D257" s="197"/>
      <c r="E257" s="197"/>
      <c r="F257" s="304"/>
      <c r="G257" s="303"/>
      <c r="H257" s="250"/>
      <c r="I257" s="250"/>
      <c r="J257" s="250"/>
    </row>
    <row r="260" spans="1:10" x14ac:dyDescent="0.3">
      <c r="A260" s="217" t="s">
        <v>599</v>
      </c>
      <c r="D260" s="239" t="s">
        <v>600</v>
      </c>
      <c r="E260" s="239"/>
      <c r="F260" s="239"/>
    </row>
    <row r="261" spans="1:10" x14ac:dyDescent="0.3">
      <c r="F261" s="210"/>
    </row>
    <row r="262" spans="1:10" x14ac:dyDescent="0.3">
      <c r="D262" s="240" t="s">
        <v>601</v>
      </c>
      <c r="E262" s="240"/>
      <c r="F262" s="240"/>
    </row>
    <row r="263" spans="1:10" ht="30" customHeight="1" x14ac:dyDescent="0.3">
      <c r="D263" s="241"/>
      <c r="E263" s="241"/>
      <c r="F263" s="241"/>
    </row>
    <row r="264" spans="1:10" ht="30" customHeight="1" x14ac:dyDescent="0.3">
      <c r="D264" s="241"/>
      <c r="E264" s="241"/>
      <c r="F264" s="241"/>
    </row>
    <row r="265" spans="1:10" ht="30" customHeight="1" x14ac:dyDescent="0.3">
      <c r="D265" s="241"/>
      <c r="E265" s="241"/>
      <c r="F265" s="241"/>
    </row>
  </sheetData>
  <sheetProtection algorithmName="SHA-512" hashValue="s/vZnXOWyD/JMl/cIFUpev7S6x+sKyxGIF1AYXvHA/JlViFb3eobhzx4aHp/zZYQLwn3bA6Z5u01vsp+wMlwvQ==" saltValue="T0mVM8EoABmw5WrAmh/LUg==" spinCount="100000" sheet="1" objects="1" scenarios="1"/>
  <mergeCells count="473">
    <mergeCell ref="H213:J218"/>
    <mergeCell ref="H231:J235"/>
    <mergeCell ref="F231:G235"/>
    <mergeCell ref="H246:J250"/>
    <mergeCell ref="F246:G250"/>
    <mergeCell ref="H253:J257"/>
    <mergeCell ref="F253:G257"/>
    <mergeCell ref="H239:J243"/>
    <mergeCell ref="A16:C16"/>
    <mergeCell ref="A17:C17"/>
    <mergeCell ref="A18:C18"/>
    <mergeCell ref="A20:C20"/>
    <mergeCell ref="A149:E149"/>
    <mergeCell ref="F68:G68"/>
    <mergeCell ref="A227:C227"/>
    <mergeCell ref="F227:G228"/>
    <mergeCell ref="F226:G226"/>
    <mergeCell ref="F204:G204"/>
    <mergeCell ref="F213:G218"/>
    <mergeCell ref="F161:G161"/>
    <mergeCell ref="A228:C228"/>
    <mergeCell ref="A29:C29"/>
    <mergeCell ref="A30:C30"/>
    <mergeCell ref="A32:C32"/>
    <mergeCell ref="A33:C33"/>
    <mergeCell ref="A34:C34"/>
    <mergeCell ref="A21:C21"/>
    <mergeCell ref="A23:C23"/>
    <mergeCell ref="A24:C24"/>
    <mergeCell ref="A27:C27"/>
    <mergeCell ref="A28:C28"/>
    <mergeCell ref="A49:C49"/>
    <mergeCell ref="A256:C256"/>
    <mergeCell ref="A5:E5"/>
    <mergeCell ref="F5:G5"/>
    <mergeCell ref="A1:G1"/>
    <mergeCell ref="A2:G2"/>
    <mergeCell ref="A4:E4"/>
    <mergeCell ref="F4:G4"/>
    <mergeCell ref="F60:G60"/>
    <mergeCell ref="F61:G61"/>
    <mergeCell ref="F145:G145"/>
    <mergeCell ref="F28:G28"/>
    <mergeCell ref="A6:E6"/>
    <mergeCell ref="F6:G6"/>
    <mergeCell ref="A9:C9"/>
    <mergeCell ref="A10:C10"/>
    <mergeCell ref="A11:C11"/>
    <mergeCell ref="A12:C12"/>
    <mergeCell ref="A13:C13"/>
    <mergeCell ref="A15:C15"/>
    <mergeCell ref="F209:G209"/>
    <mergeCell ref="A237:D237"/>
    <mergeCell ref="E237:G237"/>
    <mergeCell ref="F221:G224"/>
    <mergeCell ref="F225:G225"/>
    <mergeCell ref="A51:C51"/>
    <mergeCell ref="A53:C53"/>
    <mergeCell ref="A62:C62"/>
    <mergeCell ref="A50:C50"/>
    <mergeCell ref="A52:C52"/>
    <mergeCell ref="A37:C37"/>
    <mergeCell ref="A42:C42"/>
    <mergeCell ref="A44:C44"/>
    <mergeCell ref="A46:C46"/>
    <mergeCell ref="A47:C47"/>
    <mergeCell ref="A45:C45"/>
    <mergeCell ref="A39:C39"/>
    <mergeCell ref="A41:C41"/>
    <mergeCell ref="A54:C54"/>
    <mergeCell ref="A7:C7"/>
    <mergeCell ref="A8:C8"/>
    <mergeCell ref="A14:C14"/>
    <mergeCell ref="A25:C25"/>
    <mergeCell ref="A26:C26"/>
    <mergeCell ref="A105:C105"/>
    <mergeCell ref="A106:C106"/>
    <mergeCell ref="A107:C107"/>
    <mergeCell ref="A108:C108"/>
    <mergeCell ref="A63:C63"/>
    <mergeCell ref="A64:C64"/>
    <mergeCell ref="A65:C65"/>
    <mergeCell ref="A66:C66"/>
    <mergeCell ref="A68:C68"/>
    <mergeCell ref="A19:C19"/>
    <mergeCell ref="A22:C22"/>
    <mergeCell ref="A38:C38"/>
    <mergeCell ref="A40:C40"/>
    <mergeCell ref="A43:C43"/>
    <mergeCell ref="A31:C31"/>
    <mergeCell ref="A67:C67"/>
    <mergeCell ref="A76:C76"/>
    <mergeCell ref="A80:C80"/>
    <mergeCell ref="A100:C100"/>
    <mergeCell ref="A180:C180"/>
    <mergeCell ref="A204:C204"/>
    <mergeCell ref="A35:C35"/>
    <mergeCell ref="A36:C36"/>
    <mergeCell ref="A48:C48"/>
    <mergeCell ref="A55:C55"/>
    <mergeCell ref="A56:C56"/>
    <mergeCell ref="A57:C57"/>
    <mergeCell ref="A58:C58"/>
    <mergeCell ref="A61:C61"/>
    <mergeCell ref="A103:C103"/>
    <mergeCell ref="A146:C146"/>
    <mergeCell ref="A147:C147"/>
    <mergeCell ref="A150:C150"/>
    <mergeCell ref="A154:C154"/>
    <mergeCell ref="A156:C156"/>
    <mergeCell ref="A159:C159"/>
    <mergeCell ref="A160:C160"/>
    <mergeCell ref="A161:C161"/>
    <mergeCell ref="A109:C109"/>
    <mergeCell ref="A110:C110"/>
    <mergeCell ref="A128:C128"/>
    <mergeCell ref="A145:C145"/>
    <mergeCell ref="A151:C151"/>
    <mergeCell ref="A130:C130"/>
    <mergeCell ref="A135:C135"/>
    <mergeCell ref="A140:C140"/>
    <mergeCell ref="A90:C90"/>
    <mergeCell ref="A91:C91"/>
    <mergeCell ref="A92:C92"/>
    <mergeCell ref="A93:C93"/>
    <mergeCell ref="A163:C163"/>
    <mergeCell ref="A171:C171"/>
    <mergeCell ref="A152:C152"/>
    <mergeCell ref="A111:C111"/>
    <mergeCell ref="A116:C116"/>
    <mergeCell ref="A121:C121"/>
    <mergeCell ref="A129:C129"/>
    <mergeCell ref="A144:C144"/>
    <mergeCell ref="A113:C113"/>
    <mergeCell ref="A114:C114"/>
    <mergeCell ref="A118:C118"/>
    <mergeCell ref="A119:C119"/>
    <mergeCell ref="A123:C123"/>
    <mergeCell ref="A124:C124"/>
    <mergeCell ref="A104:C104"/>
    <mergeCell ref="A99:C99"/>
    <mergeCell ref="A101:C101"/>
    <mergeCell ref="A117:C117"/>
    <mergeCell ref="A120:C120"/>
    <mergeCell ref="A122:C122"/>
    <mergeCell ref="A125:C125"/>
    <mergeCell ref="A174:C174"/>
    <mergeCell ref="A181:C181"/>
    <mergeCell ref="A186:C186"/>
    <mergeCell ref="A191:C191"/>
    <mergeCell ref="A203:C203"/>
    <mergeCell ref="A189:C189"/>
    <mergeCell ref="A188:C188"/>
    <mergeCell ref="A184:C184"/>
    <mergeCell ref="A164:C164"/>
    <mergeCell ref="A165:C165"/>
    <mergeCell ref="A168:C168"/>
    <mergeCell ref="A172:C172"/>
    <mergeCell ref="A173:C173"/>
    <mergeCell ref="A162:C162"/>
    <mergeCell ref="A153:C153"/>
    <mergeCell ref="A155:C155"/>
    <mergeCell ref="A157:C157"/>
    <mergeCell ref="A158:C158"/>
    <mergeCell ref="A126:C126"/>
    <mergeCell ref="A127:C127"/>
    <mergeCell ref="A71:C71"/>
    <mergeCell ref="A72:C72"/>
    <mergeCell ref="A73:C73"/>
    <mergeCell ref="A84:C84"/>
    <mergeCell ref="A89:C89"/>
    <mergeCell ref="A94:C94"/>
    <mergeCell ref="A112:C112"/>
    <mergeCell ref="A69:C69"/>
    <mergeCell ref="A70:C70"/>
    <mergeCell ref="A74:C74"/>
    <mergeCell ref="A75:C75"/>
    <mergeCell ref="A77:C77"/>
    <mergeCell ref="A78:C78"/>
    <mergeCell ref="A79:C79"/>
    <mergeCell ref="A81:C81"/>
    <mergeCell ref="A82:C82"/>
    <mergeCell ref="A83:C83"/>
    <mergeCell ref="A102:C102"/>
    <mergeCell ref="A86:C86"/>
    <mergeCell ref="A87:C87"/>
    <mergeCell ref="A88:C88"/>
    <mergeCell ref="A208:C208"/>
    <mergeCell ref="A197:C197"/>
    <mergeCell ref="A194:C194"/>
    <mergeCell ref="A195:C195"/>
    <mergeCell ref="A198:C198"/>
    <mergeCell ref="A199:C199"/>
    <mergeCell ref="A200:C200"/>
    <mergeCell ref="A196:C196"/>
    <mergeCell ref="A143:C143"/>
    <mergeCell ref="A166:C166"/>
    <mergeCell ref="A167:C167"/>
    <mergeCell ref="A169:C169"/>
    <mergeCell ref="A170:C170"/>
    <mergeCell ref="A175:C175"/>
    <mergeCell ref="A176:C176"/>
    <mergeCell ref="A177:C177"/>
    <mergeCell ref="A178:C178"/>
    <mergeCell ref="A179:C179"/>
    <mergeCell ref="A182:C182"/>
    <mergeCell ref="A185:C185"/>
    <mergeCell ref="A187:C187"/>
    <mergeCell ref="A190:C190"/>
    <mergeCell ref="A192:C192"/>
    <mergeCell ref="A193:C193"/>
    <mergeCell ref="A183:C183"/>
    <mergeCell ref="A60:C60"/>
    <mergeCell ref="A148:C148"/>
    <mergeCell ref="A201:C201"/>
    <mergeCell ref="A202:C202"/>
    <mergeCell ref="A207:C207"/>
    <mergeCell ref="A137:C137"/>
    <mergeCell ref="A138:C138"/>
    <mergeCell ref="A139:C139"/>
    <mergeCell ref="A141:C141"/>
    <mergeCell ref="A142:C142"/>
    <mergeCell ref="A131:C131"/>
    <mergeCell ref="A132:C132"/>
    <mergeCell ref="A133:C133"/>
    <mergeCell ref="A134:C134"/>
    <mergeCell ref="A136:C136"/>
    <mergeCell ref="A95:C95"/>
    <mergeCell ref="A96:C96"/>
    <mergeCell ref="A97:C97"/>
    <mergeCell ref="A98:C98"/>
    <mergeCell ref="A85:C85"/>
    <mergeCell ref="A205:C205"/>
    <mergeCell ref="A206:C206"/>
    <mergeCell ref="A115:C115"/>
    <mergeCell ref="F16:G16"/>
    <mergeCell ref="F17:G17"/>
    <mergeCell ref="F18:G18"/>
    <mergeCell ref="F19:G19"/>
    <mergeCell ref="F20:G20"/>
    <mergeCell ref="F21:G21"/>
    <mergeCell ref="A230:C230"/>
    <mergeCell ref="A245:C245"/>
    <mergeCell ref="A252:C252"/>
    <mergeCell ref="A246:C246"/>
    <mergeCell ref="A231:C231"/>
    <mergeCell ref="A232:C232"/>
    <mergeCell ref="A233:C233"/>
    <mergeCell ref="A234:C234"/>
    <mergeCell ref="A209:C209"/>
    <mergeCell ref="A212:C212"/>
    <mergeCell ref="A211:C211"/>
    <mergeCell ref="A220:C220"/>
    <mergeCell ref="A226:C226"/>
    <mergeCell ref="A222:C222"/>
    <mergeCell ref="A221:C221"/>
    <mergeCell ref="A216:C216"/>
    <mergeCell ref="A217:C217"/>
    <mergeCell ref="A218:C218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27:G27"/>
    <mergeCell ref="F29:G29"/>
    <mergeCell ref="F30:G30"/>
    <mergeCell ref="F31:G31"/>
    <mergeCell ref="F32:G32"/>
    <mergeCell ref="F22:G22"/>
    <mergeCell ref="F23:G23"/>
    <mergeCell ref="F24:G24"/>
    <mergeCell ref="F25:G25"/>
    <mergeCell ref="F26:G26"/>
    <mergeCell ref="F38:G38"/>
    <mergeCell ref="F39:G39"/>
    <mergeCell ref="F40:G40"/>
    <mergeCell ref="F41:G41"/>
    <mergeCell ref="F42:G42"/>
    <mergeCell ref="F33:G33"/>
    <mergeCell ref="F34:G34"/>
    <mergeCell ref="F35:G35"/>
    <mergeCell ref="F36:G36"/>
    <mergeCell ref="F37:G37"/>
    <mergeCell ref="F48:G48"/>
    <mergeCell ref="F49:G49"/>
    <mergeCell ref="F50:G50"/>
    <mergeCell ref="F51:G51"/>
    <mergeCell ref="F52:G52"/>
    <mergeCell ref="F43:G43"/>
    <mergeCell ref="F44:G44"/>
    <mergeCell ref="F45:G45"/>
    <mergeCell ref="F46:G46"/>
    <mergeCell ref="F47:G47"/>
    <mergeCell ref="F58:G58"/>
    <mergeCell ref="F59:G59"/>
    <mergeCell ref="F62:G62"/>
    <mergeCell ref="F63:G63"/>
    <mergeCell ref="F64:G64"/>
    <mergeCell ref="F53:G53"/>
    <mergeCell ref="F54:G54"/>
    <mergeCell ref="F55:G55"/>
    <mergeCell ref="F56:G56"/>
    <mergeCell ref="F57:G57"/>
    <mergeCell ref="F71:G71"/>
    <mergeCell ref="F72:G72"/>
    <mergeCell ref="F73:G73"/>
    <mergeCell ref="F74:G74"/>
    <mergeCell ref="F75:G75"/>
    <mergeCell ref="F65:G65"/>
    <mergeCell ref="F66:G66"/>
    <mergeCell ref="F67:G67"/>
    <mergeCell ref="F69:G69"/>
    <mergeCell ref="F70:G70"/>
    <mergeCell ref="F81:G81"/>
    <mergeCell ref="F82:G82"/>
    <mergeCell ref="F83:G83"/>
    <mergeCell ref="F84:G84"/>
    <mergeCell ref="F85:G85"/>
    <mergeCell ref="F76:G76"/>
    <mergeCell ref="F77:G77"/>
    <mergeCell ref="F78:G78"/>
    <mergeCell ref="F79:G79"/>
    <mergeCell ref="F80:G80"/>
    <mergeCell ref="F91:G91"/>
    <mergeCell ref="F92:G92"/>
    <mergeCell ref="F93:G93"/>
    <mergeCell ref="F94:G94"/>
    <mergeCell ref="F95:G95"/>
    <mergeCell ref="F86:G86"/>
    <mergeCell ref="F87:G87"/>
    <mergeCell ref="F88:G88"/>
    <mergeCell ref="F89:G89"/>
    <mergeCell ref="F90:G90"/>
    <mergeCell ref="F101:G101"/>
    <mergeCell ref="F102:G102"/>
    <mergeCell ref="F103:G103"/>
    <mergeCell ref="F104:G104"/>
    <mergeCell ref="F105:G105"/>
    <mergeCell ref="F96:G96"/>
    <mergeCell ref="F97:G97"/>
    <mergeCell ref="F98:G98"/>
    <mergeCell ref="F99:G99"/>
    <mergeCell ref="F100:G100"/>
    <mergeCell ref="F111:G111"/>
    <mergeCell ref="F112:G112"/>
    <mergeCell ref="F113:G113"/>
    <mergeCell ref="F114:G114"/>
    <mergeCell ref="F115:G115"/>
    <mergeCell ref="F106:G106"/>
    <mergeCell ref="F107:G107"/>
    <mergeCell ref="F108:G108"/>
    <mergeCell ref="F109:G109"/>
    <mergeCell ref="F110:G110"/>
    <mergeCell ref="F121:G121"/>
    <mergeCell ref="F122:G122"/>
    <mergeCell ref="F123:G123"/>
    <mergeCell ref="F124:G124"/>
    <mergeCell ref="F125:G125"/>
    <mergeCell ref="F116:G116"/>
    <mergeCell ref="F117:G117"/>
    <mergeCell ref="F118:G118"/>
    <mergeCell ref="F119:G119"/>
    <mergeCell ref="F120:G120"/>
    <mergeCell ref="F131:G131"/>
    <mergeCell ref="F132:G132"/>
    <mergeCell ref="F133:G133"/>
    <mergeCell ref="F134:G134"/>
    <mergeCell ref="F135:G135"/>
    <mergeCell ref="F126:G126"/>
    <mergeCell ref="F127:G127"/>
    <mergeCell ref="F128:G128"/>
    <mergeCell ref="F129:G129"/>
    <mergeCell ref="F130:G130"/>
    <mergeCell ref="F141:G141"/>
    <mergeCell ref="F142:G142"/>
    <mergeCell ref="F143:G143"/>
    <mergeCell ref="F144:G144"/>
    <mergeCell ref="F146:G146"/>
    <mergeCell ref="F136:G136"/>
    <mergeCell ref="F137:G137"/>
    <mergeCell ref="F138:G138"/>
    <mergeCell ref="F139:G139"/>
    <mergeCell ref="F140:G140"/>
    <mergeCell ref="F162:G162"/>
    <mergeCell ref="F163:G163"/>
    <mergeCell ref="F164:G164"/>
    <mergeCell ref="F165:G165"/>
    <mergeCell ref="F166:G166"/>
    <mergeCell ref="F147:G147"/>
    <mergeCell ref="F148:G148"/>
    <mergeCell ref="F149:G149"/>
    <mergeCell ref="F159:G159"/>
    <mergeCell ref="F160:G160"/>
    <mergeCell ref="F150:G155"/>
    <mergeCell ref="F156:G156"/>
    <mergeCell ref="F157:G157"/>
    <mergeCell ref="F158:G158"/>
    <mergeCell ref="F172:G172"/>
    <mergeCell ref="F173:G173"/>
    <mergeCell ref="F174:G174"/>
    <mergeCell ref="F175:G175"/>
    <mergeCell ref="F176:G176"/>
    <mergeCell ref="F167:G167"/>
    <mergeCell ref="F168:G168"/>
    <mergeCell ref="F169:G169"/>
    <mergeCell ref="F170:G170"/>
    <mergeCell ref="F171:G171"/>
    <mergeCell ref="F182:G182"/>
    <mergeCell ref="F183:G183"/>
    <mergeCell ref="F184:G184"/>
    <mergeCell ref="F185:G185"/>
    <mergeCell ref="F186:G186"/>
    <mergeCell ref="F177:G177"/>
    <mergeCell ref="F178:G178"/>
    <mergeCell ref="F179:G179"/>
    <mergeCell ref="F180:G180"/>
    <mergeCell ref="F181:G181"/>
    <mergeCell ref="F192:G192"/>
    <mergeCell ref="F193:G193"/>
    <mergeCell ref="F194:G194"/>
    <mergeCell ref="F195:G195"/>
    <mergeCell ref="F196:G196"/>
    <mergeCell ref="F187:G187"/>
    <mergeCell ref="F188:G188"/>
    <mergeCell ref="F189:G189"/>
    <mergeCell ref="F190:G190"/>
    <mergeCell ref="F191:G191"/>
    <mergeCell ref="F202:G202"/>
    <mergeCell ref="F205:G205"/>
    <mergeCell ref="F206:G206"/>
    <mergeCell ref="F207:G207"/>
    <mergeCell ref="F208:G208"/>
    <mergeCell ref="F197:G197"/>
    <mergeCell ref="F198:G198"/>
    <mergeCell ref="F199:G199"/>
    <mergeCell ref="F200:G200"/>
    <mergeCell ref="F201:G201"/>
    <mergeCell ref="F203:G203"/>
    <mergeCell ref="F230:G230"/>
    <mergeCell ref="F245:G245"/>
    <mergeCell ref="F244:G244"/>
    <mergeCell ref="F210:G210"/>
    <mergeCell ref="F211:G211"/>
    <mergeCell ref="F212:G212"/>
    <mergeCell ref="F219:G219"/>
    <mergeCell ref="F220:G220"/>
    <mergeCell ref="F229:G229"/>
    <mergeCell ref="D260:F260"/>
    <mergeCell ref="D262:F262"/>
    <mergeCell ref="D263:F263"/>
    <mergeCell ref="D264:F264"/>
    <mergeCell ref="D265:F265"/>
    <mergeCell ref="A254:C254"/>
    <mergeCell ref="A255:C255"/>
    <mergeCell ref="A213:C213"/>
    <mergeCell ref="A214:C214"/>
    <mergeCell ref="A215:C215"/>
    <mergeCell ref="F251:G251"/>
    <mergeCell ref="F252:G252"/>
    <mergeCell ref="A235:C235"/>
    <mergeCell ref="A247:C247"/>
    <mergeCell ref="A248:C248"/>
    <mergeCell ref="A249:C249"/>
    <mergeCell ref="A250:C250"/>
    <mergeCell ref="A257:C257"/>
    <mergeCell ref="A223:C223"/>
    <mergeCell ref="A224:C224"/>
    <mergeCell ref="A253:C253"/>
  </mergeCells>
  <dataValidations disablePrompts="1" count="1">
    <dataValidation type="list" allowBlank="1" showInputMessage="1" showErrorMessage="1" sqref="G239:G243" xr:uid="{088D43EE-BDD4-48AD-B79A-445B7D394220}">
      <formula1>$L$239:$L$240</formula1>
    </dataValidation>
  </dataValidations>
  <pageMargins left="0.31496062992125984" right="0.31496062992125984" top="0.35433070866141736" bottom="0.35433070866141736" header="0.31496062992125984" footer="0.11811023622047245"/>
  <pageSetup scale="97" orientation="portrait" r:id="rId1"/>
  <headerFooter>
    <oddFooter>Strona &amp;P z &amp;N</oddFooter>
  </headerFooter>
  <rowBreaks count="4" manualBreakCount="4">
    <brk id="54" max="16383" man="1"/>
    <brk id="109" max="16383" man="1"/>
    <brk id="161" max="16383" man="1"/>
    <brk id="218" max="16383" man="1"/>
  </rowBreaks>
  <ignoredErrors>
    <ignoredError sqref="D8" formulaRange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7BF91-5969-4D51-8748-23A586A52AAE}">
  <sheetPr>
    <tabColor theme="5" tint="0.79998168889431442"/>
  </sheetPr>
  <dimension ref="A1:L178"/>
  <sheetViews>
    <sheetView showRuler="0" topLeftCell="A150" zoomScaleNormal="100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4" style="2" customWidth="1"/>
    <col min="6" max="11" width="18.33203125" style="1" customWidth="1"/>
    <col min="12" max="260" width="9.109375" style="1"/>
    <col min="261" max="261" width="54" style="1" customWidth="1"/>
    <col min="262" max="267" width="24" style="1" customWidth="1"/>
    <col min="268" max="516" width="9.109375" style="1"/>
    <col min="517" max="517" width="54" style="1" customWidth="1"/>
    <col min="518" max="523" width="24" style="1" customWidth="1"/>
    <col min="524" max="772" width="9.109375" style="1"/>
    <col min="773" max="773" width="54" style="1" customWidth="1"/>
    <col min="774" max="779" width="24" style="1" customWidth="1"/>
    <col min="780" max="1028" width="9.109375" style="1"/>
    <col min="1029" max="1029" width="54" style="1" customWidth="1"/>
    <col min="1030" max="1035" width="24" style="1" customWidth="1"/>
    <col min="1036" max="1284" width="9.109375" style="1"/>
    <col min="1285" max="1285" width="54" style="1" customWidth="1"/>
    <col min="1286" max="1291" width="24" style="1" customWidth="1"/>
    <col min="1292" max="1540" width="9.109375" style="1"/>
    <col min="1541" max="1541" width="54" style="1" customWidth="1"/>
    <col min="1542" max="1547" width="24" style="1" customWidth="1"/>
    <col min="1548" max="1796" width="9.109375" style="1"/>
    <col min="1797" max="1797" width="54" style="1" customWidth="1"/>
    <col min="1798" max="1803" width="24" style="1" customWidth="1"/>
    <col min="1804" max="2052" width="9.109375" style="1"/>
    <col min="2053" max="2053" width="54" style="1" customWidth="1"/>
    <col min="2054" max="2059" width="24" style="1" customWidth="1"/>
    <col min="2060" max="2308" width="9.109375" style="1"/>
    <col min="2309" max="2309" width="54" style="1" customWidth="1"/>
    <col min="2310" max="2315" width="24" style="1" customWidth="1"/>
    <col min="2316" max="2564" width="9.109375" style="1"/>
    <col min="2565" max="2565" width="54" style="1" customWidth="1"/>
    <col min="2566" max="2571" width="24" style="1" customWidth="1"/>
    <col min="2572" max="2820" width="9.109375" style="1"/>
    <col min="2821" max="2821" width="54" style="1" customWidth="1"/>
    <col min="2822" max="2827" width="24" style="1" customWidth="1"/>
    <col min="2828" max="3076" width="9.109375" style="1"/>
    <col min="3077" max="3077" width="54" style="1" customWidth="1"/>
    <col min="3078" max="3083" width="24" style="1" customWidth="1"/>
    <col min="3084" max="3332" width="9.109375" style="1"/>
    <col min="3333" max="3333" width="54" style="1" customWidth="1"/>
    <col min="3334" max="3339" width="24" style="1" customWidth="1"/>
    <col min="3340" max="3588" width="9.109375" style="1"/>
    <col min="3589" max="3589" width="54" style="1" customWidth="1"/>
    <col min="3590" max="3595" width="24" style="1" customWidth="1"/>
    <col min="3596" max="3844" width="9.109375" style="1"/>
    <col min="3845" max="3845" width="54" style="1" customWidth="1"/>
    <col min="3846" max="3851" width="24" style="1" customWidth="1"/>
    <col min="3852" max="4100" width="9.109375" style="1"/>
    <col min="4101" max="4101" width="54" style="1" customWidth="1"/>
    <col min="4102" max="4107" width="24" style="1" customWidth="1"/>
    <col min="4108" max="4356" width="9.109375" style="1"/>
    <col min="4357" max="4357" width="54" style="1" customWidth="1"/>
    <col min="4358" max="4363" width="24" style="1" customWidth="1"/>
    <col min="4364" max="4612" width="9.109375" style="1"/>
    <col min="4613" max="4613" width="54" style="1" customWidth="1"/>
    <col min="4614" max="4619" width="24" style="1" customWidth="1"/>
    <col min="4620" max="4868" width="9.109375" style="1"/>
    <col min="4869" max="4869" width="54" style="1" customWidth="1"/>
    <col min="4870" max="4875" width="24" style="1" customWidth="1"/>
    <col min="4876" max="5124" width="9.109375" style="1"/>
    <col min="5125" max="5125" width="54" style="1" customWidth="1"/>
    <col min="5126" max="5131" width="24" style="1" customWidth="1"/>
    <col min="5132" max="5380" width="9.109375" style="1"/>
    <col min="5381" max="5381" width="54" style="1" customWidth="1"/>
    <col min="5382" max="5387" width="24" style="1" customWidth="1"/>
    <col min="5388" max="5636" width="9.109375" style="1"/>
    <col min="5637" max="5637" width="54" style="1" customWidth="1"/>
    <col min="5638" max="5643" width="24" style="1" customWidth="1"/>
    <col min="5644" max="5892" width="9.109375" style="1"/>
    <col min="5893" max="5893" width="54" style="1" customWidth="1"/>
    <col min="5894" max="5899" width="24" style="1" customWidth="1"/>
    <col min="5900" max="6148" width="9.109375" style="1"/>
    <col min="6149" max="6149" width="54" style="1" customWidth="1"/>
    <col min="6150" max="6155" width="24" style="1" customWidth="1"/>
    <col min="6156" max="6404" width="9.109375" style="1"/>
    <col min="6405" max="6405" width="54" style="1" customWidth="1"/>
    <col min="6406" max="6411" width="24" style="1" customWidth="1"/>
    <col min="6412" max="6660" width="9.109375" style="1"/>
    <col min="6661" max="6661" width="54" style="1" customWidth="1"/>
    <col min="6662" max="6667" width="24" style="1" customWidth="1"/>
    <col min="6668" max="6916" width="9.109375" style="1"/>
    <col min="6917" max="6917" width="54" style="1" customWidth="1"/>
    <col min="6918" max="6923" width="24" style="1" customWidth="1"/>
    <col min="6924" max="7172" width="9.109375" style="1"/>
    <col min="7173" max="7173" width="54" style="1" customWidth="1"/>
    <col min="7174" max="7179" width="24" style="1" customWidth="1"/>
    <col min="7180" max="7428" width="9.109375" style="1"/>
    <col min="7429" max="7429" width="54" style="1" customWidth="1"/>
    <col min="7430" max="7435" width="24" style="1" customWidth="1"/>
    <col min="7436" max="7684" width="9.109375" style="1"/>
    <col min="7685" max="7685" width="54" style="1" customWidth="1"/>
    <col min="7686" max="7691" width="24" style="1" customWidth="1"/>
    <col min="7692" max="7940" width="9.109375" style="1"/>
    <col min="7941" max="7941" width="54" style="1" customWidth="1"/>
    <col min="7942" max="7947" width="24" style="1" customWidth="1"/>
    <col min="7948" max="8196" width="9.109375" style="1"/>
    <col min="8197" max="8197" width="54" style="1" customWidth="1"/>
    <col min="8198" max="8203" width="24" style="1" customWidth="1"/>
    <col min="8204" max="8452" width="9.109375" style="1"/>
    <col min="8453" max="8453" width="54" style="1" customWidth="1"/>
    <col min="8454" max="8459" width="24" style="1" customWidth="1"/>
    <col min="8460" max="8708" width="9.109375" style="1"/>
    <col min="8709" max="8709" width="54" style="1" customWidth="1"/>
    <col min="8710" max="8715" width="24" style="1" customWidth="1"/>
    <col min="8716" max="8964" width="9.109375" style="1"/>
    <col min="8965" max="8965" width="54" style="1" customWidth="1"/>
    <col min="8966" max="8971" width="24" style="1" customWidth="1"/>
    <col min="8972" max="9220" width="9.109375" style="1"/>
    <col min="9221" max="9221" width="54" style="1" customWidth="1"/>
    <col min="9222" max="9227" width="24" style="1" customWidth="1"/>
    <col min="9228" max="9476" width="9.109375" style="1"/>
    <col min="9477" max="9477" width="54" style="1" customWidth="1"/>
    <col min="9478" max="9483" width="24" style="1" customWidth="1"/>
    <col min="9484" max="9732" width="9.109375" style="1"/>
    <col min="9733" max="9733" width="54" style="1" customWidth="1"/>
    <col min="9734" max="9739" width="24" style="1" customWidth="1"/>
    <col min="9740" max="9988" width="9.109375" style="1"/>
    <col min="9989" max="9989" width="54" style="1" customWidth="1"/>
    <col min="9990" max="9995" width="24" style="1" customWidth="1"/>
    <col min="9996" max="10244" width="9.109375" style="1"/>
    <col min="10245" max="10245" width="54" style="1" customWidth="1"/>
    <col min="10246" max="10251" width="24" style="1" customWidth="1"/>
    <col min="10252" max="10500" width="9.109375" style="1"/>
    <col min="10501" max="10501" width="54" style="1" customWidth="1"/>
    <col min="10502" max="10507" width="24" style="1" customWidth="1"/>
    <col min="10508" max="10756" width="9.109375" style="1"/>
    <col min="10757" max="10757" width="54" style="1" customWidth="1"/>
    <col min="10758" max="10763" width="24" style="1" customWidth="1"/>
    <col min="10764" max="11012" width="9.109375" style="1"/>
    <col min="11013" max="11013" width="54" style="1" customWidth="1"/>
    <col min="11014" max="11019" width="24" style="1" customWidth="1"/>
    <col min="11020" max="11268" width="9.109375" style="1"/>
    <col min="11269" max="11269" width="54" style="1" customWidth="1"/>
    <col min="11270" max="11275" width="24" style="1" customWidth="1"/>
    <col min="11276" max="11524" width="9.109375" style="1"/>
    <col min="11525" max="11525" width="54" style="1" customWidth="1"/>
    <col min="11526" max="11531" width="24" style="1" customWidth="1"/>
    <col min="11532" max="11780" width="9.109375" style="1"/>
    <col min="11781" max="11781" width="54" style="1" customWidth="1"/>
    <col min="11782" max="11787" width="24" style="1" customWidth="1"/>
    <col min="11788" max="12036" width="9.109375" style="1"/>
    <col min="12037" max="12037" width="54" style="1" customWidth="1"/>
    <col min="12038" max="12043" width="24" style="1" customWidth="1"/>
    <col min="12044" max="12292" width="9.109375" style="1"/>
    <col min="12293" max="12293" width="54" style="1" customWidth="1"/>
    <col min="12294" max="12299" width="24" style="1" customWidth="1"/>
    <col min="12300" max="12548" width="9.109375" style="1"/>
    <col min="12549" max="12549" width="54" style="1" customWidth="1"/>
    <col min="12550" max="12555" width="24" style="1" customWidth="1"/>
    <col min="12556" max="12804" width="9.109375" style="1"/>
    <col min="12805" max="12805" width="54" style="1" customWidth="1"/>
    <col min="12806" max="12811" width="24" style="1" customWidth="1"/>
    <col min="12812" max="13060" width="9.109375" style="1"/>
    <col min="13061" max="13061" width="54" style="1" customWidth="1"/>
    <col min="13062" max="13067" width="24" style="1" customWidth="1"/>
    <col min="13068" max="13316" width="9.109375" style="1"/>
    <col min="13317" max="13317" width="54" style="1" customWidth="1"/>
    <col min="13318" max="13323" width="24" style="1" customWidth="1"/>
    <col min="13324" max="13572" width="9.109375" style="1"/>
    <col min="13573" max="13573" width="54" style="1" customWidth="1"/>
    <col min="13574" max="13579" width="24" style="1" customWidth="1"/>
    <col min="13580" max="13828" width="9.109375" style="1"/>
    <col min="13829" max="13829" width="54" style="1" customWidth="1"/>
    <col min="13830" max="13835" width="24" style="1" customWidth="1"/>
    <col min="13836" max="14084" width="9.109375" style="1"/>
    <col min="14085" max="14085" width="54" style="1" customWidth="1"/>
    <col min="14086" max="14091" width="24" style="1" customWidth="1"/>
    <col min="14092" max="14340" width="9.109375" style="1"/>
    <col min="14341" max="14341" width="54" style="1" customWidth="1"/>
    <col min="14342" max="14347" width="24" style="1" customWidth="1"/>
    <col min="14348" max="14596" width="9.109375" style="1"/>
    <col min="14597" max="14597" width="54" style="1" customWidth="1"/>
    <col min="14598" max="14603" width="24" style="1" customWidth="1"/>
    <col min="14604" max="14852" width="9.109375" style="1"/>
    <col min="14853" max="14853" width="54" style="1" customWidth="1"/>
    <col min="14854" max="14859" width="24" style="1" customWidth="1"/>
    <col min="14860" max="15108" width="9.109375" style="1"/>
    <col min="15109" max="15109" width="54" style="1" customWidth="1"/>
    <col min="15110" max="15115" width="24" style="1" customWidth="1"/>
    <col min="15116" max="15364" width="9.109375" style="1"/>
    <col min="15365" max="15365" width="54" style="1" customWidth="1"/>
    <col min="15366" max="15371" width="24" style="1" customWidth="1"/>
    <col min="15372" max="15620" width="9.109375" style="1"/>
    <col min="15621" max="15621" width="54" style="1" customWidth="1"/>
    <col min="15622" max="15627" width="24" style="1" customWidth="1"/>
    <col min="15628" max="15876" width="9.109375" style="1"/>
    <col min="15877" max="15877" width="54" style="1" customWidth="1"/>
    <col min="15878" max="15883" width="24" style="1" customWidth="1"/>
    <col min="15884" max="16132" width="9.109375" style="1"/>
    <col min="16133" max="16133" width="54" style="1" customWidth="1"/>
    <col min="16134" max="16139" width="24" style="1" customWidth="1"/>
    <col min="16140" max="16384" width="9.109375" style="1"/>
  </cols>
  <sheetData>
    <row r="1" spans="1:11" x14ac:dyDescent="0.3">
      <c r="E1" s="184" t="s">
        <v>401</v>
      </c>
      <c r="F1" s="190"/>
      <c r="G1" s="190"/>
      <c r="H1" s="190"/>
      <c r="I1" s="190"/>
      <c r="J1" s="190"/>
      <c r="K1" s="190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0.19282244122954675</v>
      </c>
      <c r="B4" s="139">
        <f>MAX(F4:K4)</f>
        <v>0.44819727063661496</v>
      </c>
      <c r="C4" s="155">
        <f>AVERAGE(F4:K4)</f>
        <v>0.33708239063582884</v>
      </c>
      <c r="D4" s="156">
        <f>MEDIAN(F4:K4)</f>
        <v>0.37405645652629227</v>
      </c>
      <c r="E4" s="47" t="s">
        <v>364</v>
      </c>
      <c r="F4" s="71">
        <f>SUM(F9:F12)/SUM(F13:F15)</f>
        <v>0.41088390282413756</v>
      </c>
      <c r="G4" s="71">
        <f t="shared" ref="G4:K4" si="0">SUM(G9:G12)/SUM(G13:G15)</f>
        <v>0.40340880816318053</v>
      </c>
      <c r="H4" s="71">
        <f t="shared" si="0"/>
        <v>0.22247781607208902</v>
      </c>
      <c r="I4" s="71">
        <f t="shared" si="0"/>
        <v>0.19282244122954675</v>
      </c>
      <c r="J4" s="71">
        <f t="shared" si="0"/>
        <v>0.44819727063661496</v>
      </c>
      <c r="K4" s="71">
        <f t="shared" si="0"/>
        <v>0.34470410488940395</v>
      </c>
    </row>
    <row r="5" spans="1:11" s="43" customFormat="1" ht="13.2" x14ac:dyDescent="0.25">
      <c r="A5" s="139">
        <f t="shared" ref="A5:A7" si="1">MIN(F5:K5)</f>
        <v>0.64630590968151069</v>
      </c>
      <c r="B5" s="139">
        <f t="shared" ref="B5:B7" si="2">MAX(F5:K5)</f>
        <v>7.4652370538872672</v>
      </c>
      <c r="C5" s="155">
        <f t="shared" ref="C5:C7" si="3">AVERAGEIF(F5:K5,"&gt;0")</f>
        <v>2.5528253844439344</v>
      </c>
      <c r="D5" s="156">
        <f t="shared" ref="D5:D7" si="4">_xlfn.AGGREGATE(12,6,F5:K5)</f>
        <v>1.9549508504464583</v>
      </c>
      <c r="E5" s="47" t="s">
        <v>363</v>
      </c>
      <c r="F5" s="71">
        <f t="shared" ref="F5:K5" si="5">SUM(F9:F12)/F14</f>
        <v>2.0266514637237871</v>
      </c>
      <c r="G5" s="71">
        <f t="shared" si="5"/>
        <v>1.8832502371691293</v>
      </c>
      <c r="H5" s="71">
        <f t="shared" si="5"/>
        <v>0.64630590968151069</v>
      </c>
      <c r="I5" s="71">
        <f t="shared" si="5"/>
        <v>0.84410050057855457</v>
      </c>
      <c r="J5" s="71">
        <f t="shared" si="5"/>
        <v>7.4652370538872672</v>
      </c>
      <c r="K5" s="71">
        <f t="shared" si="5"/>
        <v>2.4514071416233572</v>
      </c>
    </row>
    <row r="6" spans="1:11" s="43" customFormat="1" ht="13.2" x14ac:dyDescent="0.25">
      <c r="A6" s="139">
        <f t="shared" si="1"/>
        <v>0.54772080841880555</v>
      </c>
      <c r="B6" s="139">
        <f t="shared" si="2"/>
        <v>4.695833141171752</v>
      </c>
      <c r="C6" s="155">
        <f t="shared" si="3"/>
        <v>1.6560612341577858</v>
      </c>
      <c r="D6" s="156">
        <f t="shared" si="4"/>
        <v>1.1062753516177966</v>
      </c>
      <c r="E6" s="47" t="s">
        <v>365</v>
      </c>
      <c r="F6" s="71">
        <f t="shared" ref="F6:K6" si="6">SUM(F10:F11)/F14</f>
        <v>1.8095331454975769</v>
      </c>
      <c r="G6" s="71">
        <f t="shared" si="6"/>
        <v>1.4855573878500141</v>
      </c>
      <c r="H6" s="71">
        <f t="shared" si="6"/>
        <v>0.54772080841880555</v>
      </c>
      <c r="I6" s="71">
        <f t="shared" si="6"/>
        <v>0.67072960662298753</v>
      </c>
      <c r="J6" s="71">
        <f t="shared" si="6"/>
        <v>4.695833141171752</v>
      </c>
      <c r="K6" s="71">
        <f t="shared" si="6"/>
        <v>0.72699331538557888</v>
      </c>
    </row>
    <row r="7" spans="1:11" s="43" customFormat="1" ht="13.8" thickBot="1" x14ac:dyDescent="0.3">
      <c r="A7" s="139">
        <f t="shared" si="1"/>
        <v>0.10685890682716019</v>
      </c>
      <c r="B7" s="139">
        <f t="shared" si="2"/>
        <v>1.6073754882241946</v>
      </c>
      <c r="C7" s="155">
        <f t="shared" si="3"/>
        <v>0.69264926428509044</v>
      </c>
      <c r="D7" s="156">
        <f t="shared" si="4"/>
        <v>0.5050726321045903</v>
      </c>
      <c r="E7" s="49" t="s">
        <v>366</v>
      </c>
      <c r="F7" s="73">
        <f t="shared" ref="F7:K7" si="7">F11/F14</f>
        <v>1.6073754882241946</v>
      </c>
      <c r="G7" s="73">
        <f t="shared" si="7"/>
        <v>1.0339926027482049</v>
      </c>
      <c r="H7" s="73">
        <f t="shared" si="7"/>
        <v>0.10685890682716019</v>
      </c>
      <c r="I7" s="73">
        <f t="shared" si="7"/>
        <v>0.39752332370180238</v>
      </c>
      <c r="J7" s="73">
        <f t="shared" si="7"/>
        <v>0.60563116151609675</v>
      </c>
      <c r="K7" s="73">
        <f t="shared" si="7"/>
        <v>0.4045141026930838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410311.09</v>
      </c>
      <c r="G9" s="76">
        <f t="shared" ref="G9:K12" si="8">G115</f>
        <v>427714.59</v>
      </c>
      <c r="H9" s="76">
        <f t="shared" si="8"/>
        <v>195722.17</v>
      </c>
      <c r="I9" s="76">
        <f t="shared" si="8"/>
        <v>215512.4</v>
      </c>
      <c r="J9" s="76">
        <f t="shared" si="8"/>
        <v>1267546.8899999999</v>
      </c>
      <c r="K9" s="76">
        <f t="shared" si="8"/>
        <v>1444143.52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471358.13</v>
      </c>
      <c r="G10" s="76">
        <f t="shared" si="8"/>
        <v>544104.53</v>
      </c>
      <c r="H10" s="76">
        <f t="shared" si="8"/>
        <v>1066345.53</v>
      </c>
      <c r="I10" s="76">
        <f t="shared" si="8"/>
        <v>404455.95</v>
      </c>
      <c r="J10" s="76">
        <f t="shared" si="8"/>
        <v>1886402.83</v>
      </c>
      <c r="K10" s="76">
        <f t="shared" si="8"/>
        <v>291786.46999999997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3747815.02</v>
      </c>
      <c r="G11" s="76">
        <f t="shared" si="8"/>
        <v>1245890.02</v>
      </c>
      <c r="H11" s="76">
        <f t="shared" si="8"/>
        <v>258467.6</v>
      </c>
      <c r="I11" s="76">
        <f t="shared" si="8"/>
        <v>588495.52</v>
      </c>
      <c r="J11" s="76">
        <f t="shared" si="8"/>
        <v>279317.34000000003</v>
      </c>
      <c r="K11" s="76">
        <f t="shared" si="8"/>
        <v>366013.49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95929.86</v>
      </c>
      <c r="G12" s="76">
        <f t="shared" si="8"/>
        <v>51477.96</v>
      </c>
      <c r="H12" s="76">
        <f t="shared" si="8"/>
        <v>42732.959999999999</v>
      </c>
      <c r="I12" s="76">
        <f t="shared" si="8"/>
        <v>41146.74</v>
      </c>
      <c r="J12" s="76">
        <f t="shared" si="8"/>
        <v>9703.33</v>
      </c>
      <c r="K12" s="76">
        <f t="shared" si="8"/>
        <v>116145.03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2331636.29</v>
      </c>
      <c r="G14" s="76">
        <f t="shared" ref="G14:K15" si="10">G130</f>
        <v>1204931.27</v>
      </c>
      <c r="H14" s="76">
        <f t="shared" si="10"/>
        <v>2418774.5099999998</v>
      </c>
      <c r="I14" s="76">
        <f t="shared" si="10"/>
        <v>1480405.01</v>
      </c>
      <c r="J14" s="76">
        <f t="shared" si="10"/>
        <v>461200.41</v>
      </c>
      <c r="K14" s="76">
        <f t="shared" si="10"/>
        <v>904822.57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9168970.25</v>
      </c>
      <c r="G15" s="76">
        <f t="shared" si="10"/>
        <v>4420099.8499999996</v>
      </c>
      <c r="H15" s="76">
        <f t="shared" si="10"/>
        <v>4607850.83</v>
      </c>
      <c r="I15" s="76">
        <f t="shared" si="10"/>
        <v>5000223.5</v>
      </c>
      <c r="J15" s="76">
        <f t="shared" si="10"/>
        <v>7220618.7699999996</v>
      </c>
      <c r="K15" s="76">
        <f t="shared" si="10"/>
        <v>5529938.3700000001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32.923877006966698</v>
      </c>
      <c r="B19" s="152">
        <f t="shared" ref="B19:B25" si="12">MAX(F19:K19)</f>
        <v>1321.7128541592019</v>
      </c>
      <c r="C19" s="156">
        <f>AVERAGE(F19:K19)</f>
        <v>315.84701265142434</v>
      </c>
      <c r="D19" s="156">
        <f>MEDIAN(F19:K19)</f>
        <v>73.39390664722805</v>
      </c>
      <c r="E19" s="47" t="s">
        <v>293</v>
      </c>
      <c r="F19" s="71">
        <f>F28/(F27/365)</f>
        <v>32.923877006966698</v>
      </c>
      <c r="G19" s="71">
        <f t="shared" ref="G19:K19" si="13">G28/(G27/365)</f>
        <v>33.756071742891656</v>
      </c>
      <c r="H19" s="71">
        <f t="shared" si="13"/>
        <v>87.984109364782512</v>
      </c>
      <c r="I19" s="71">
        <f t="shared" si="13"/>
        <v>58.803703929673574</v>
      </c>
      <c r="J19" s="71">
        <f t="shared" si="13"/>
        <v>1321.7128541592019</v>
      </c>
      <c r="K19" s="71">
        <f t="shared" si="13"/>
        <v>359.90145970502977</v>
      </c>
    </row>
    <row r="20" spans="1:11" s="43" customFormat="1" ht="13.2" x14ac:dyDescent="0.25">
      <c r="A20" s="152">
        <f t="shared" si="11"/>
        <v>16.149025176100803</v>
      </c>
      <c r="B20" s="152">
        <f t="shared" si="12"/>
        <v>1781.2661459990243</v>
      </c>
      <c r="C20" s="156">
        <f t="shared" ref="C20:C25" si="14">AVERAGE(F20:K20)</f>
        <v>462.00890275329925</v>
      </c>
      <c r="D20" s="156">
        <f t="shared" ref="D20:D25" si="15">MEDIAN(F20:K20)</f>
        <v>29.996537106433792</v>
      </c>
      <c r="E20" s="121" t="s">
        <v>367</v>
      </c>
      <c r="F20" s="71">
        <f>F29/(F27/365)</f>
        <v>28.659804513723873</v>
      </c>
      <c r="G20" s="71">
        <f t="shared" ref="G20:K20" si="16">G29/(G27/365)</f>
        <v>26.535276935704779</v>
      </c>
      <c r="H20" s="71">
        <f t="shared" si="16"/>
        <v>16.149025176100803</v>
      </c>
      <c r="I20" s="71">
        <f t="shared" si="16"/>
        <v>31.33326969914371</v>
      </c>
      <c r="J20" s="71">
        <f t="shared" si="16"/>
        <v>888.10989419609803</v>
      </c>
      <c r="K20" s="71">
        <f t="shared" si="16"/>
        <v>1781.2661459990243</v>
      </c>
    </row>
    <row r="21" spans="1:11" s="43" customFormat="1" ht="13.2" x14ac:dyDescent="0.25">
      <c r="A21" s="152">
        <f t="shared" si="11"/>
        <v>74.753552217941561</v>
      </c>
      <c r="B21" s="152">
        <f t="shared" si="12"/>
        <v>1116.0454551475827</v>
      </c>
      <c r="C21" s="156">
        <f t="shared" si="14"/>
        <v>348.6018502015404</v>
      </c>
      <c r="D21" s="156">
        <f t="shared" si="15"/>
        <v>207.40424783548056</v>
      </c>
      <c r="E21" s="47" t="s">
        <v>368</v>
      </c>
      <c r="F21" s="71">
        <f>F30/(F27/365)</f>
        <v>162.86237905123252</v>
      </c>
      <c r="G21" s="71">
        <f t="shared" ref="G21:K21" si="17">G30/(G27/365)</f>
        <v>74.753552217941561</v>
      </c>
      <c r="H21" s="71">
        <f t="shared" si="17"/>
        <v>199.57294800737637</v>
      </c>
      <c r="I21" s="71">
        <f t="shared" si="17"/>
        <v>215.23554766358475</v>
      </c>
      <c r="J21" s="71">
        <f t="shared" si="17"/>
        <v>323.14121912152461</v>
      </c>
      <c r="K21" s="71">
        <f t="shared" si="17"/>
        <v>1116.0454551475827</v>
      </c>
    </row>
    <row r="22" spans="1:11" s="43" customFormat="1" ht="13.2" x14ac:dyDescent="0.25">
      <c r="A22" s="152">
        <f t="shared" si="11"/>
        <v>-125.09857403476747</v>
      </c>
      <c r="B22" s="152">
        <f t="shared" si="12"/>
        <v>1886.6815292337756</v>
      </c>
      <c r="C22" s="156">
        <f t="shared" si="14"/>
        <v>429.25406520318319</v>
      </c>
      <c r="D22" s="156">
        <f t="shared" si="15"/>
        <v>-54.951008502919088</v>
      </c>
      <c r="E22" s="47" t="s">
        <v>294</v>
      </c>
      <c r="F22" s="71">
        <f>F19+F20-F21</f>
        <v>-101.27869753054195</v>
      </c>
      <c r="G22" s="71">
        <f t="shared" ref="G22:K22" si="18">G19+G20-G21</f>
        <v>-14.462203539345126</v>
      </c>
      <c r="H22" s="71">
        <f t="shared" si="18"/>
        <v>-95.43981346649305</v>
      </c>
      <c r="I22" s="71">
        <f t="shared" si="18"/>
        <v>-125.09857403476747</v>
      </c>
      <c r="J22" s="71">
        <f t="shared" si="18"/>
        <v>1886.6815292337756</v>
      </c>
      <c r="K22" s="71">
        <f t="shared" si="18"/>
        <v>1025.1221505564713</v>
      </c>
    </row>
    <row r="23" spans="1:11" s="43" customFormat="1" ht="13.2" x14ac:dyDescent="0.25">
      <c r="A23" s="152">
        <f t="shared" si="11"/>
        <v>3.5580148518016955E-2</v>
      </c>
      <c r="B23" s="152">
        <f t="shared" si="12"/>
        <v>0.46636531741241383</v>
      </c>
      <c r="C23" s="156">
        <f t="shared" si="14"/>
        <v>0.23413524614546663</v>
      </c>
      <c r="D23" s="156">
        <f t="shared" si="15"/>
        <v>0.25061266137457705</v>
      </c>
      <c r="E23" s="47" t="s">
        <v>295</v>
      </c>
      <c r="F23" s="71">
        <f>F27/F31</f>
        <v>0.2894704698951277</v>
      </c>
      <c r="G23" s="71">
        <f t="shared" ref="G23:K23" si="19">G27/G31</f>
        <v>0.46636531741241383</v>
      </c>
      <c r="H23" s="71">
        <f t="shared" si="19"/>
        <v>0.35725558210215447</v>
      </c>
      <c r="I23" s="71">
        <f t="shared" si="19"/>
        <v>0.21175485285402643</v>
      </c>
      <c r="J23" s="71">
        <f t="shared" si="19"/>
        <v>4.4385106091060368E-2</v>
      </c>
      <c r="K23" s="71">
        <f t="shared" si="19"/>
        <v>3.5580148518016955E-2</v>
      </c>
    </row>
    <row r="24" spans="1:11" s="43" customFormat="1" ht="13.2" x14ac:dyDescent="0.25">
      <c r="A24" s="152">
        <f t="shared" si="11"/>
        <v>4.8520151263082151E-2</v>
      </c>
      <c r="B24" s="152">
        <f t="shared" si="12"/>
        <v>0.56865220787543891</v>
      </c>
      <c r="C24" s="156">
        <f t="shared" si="14"/>
        <v>0.28627890382439924</v>
      </c>
      <c r="D24" s="156">
        <f t="shared" si="15"/>
        <v>0.31440767497212591</v>
      </c>
      <c r="E24" s="121" t="s">
        <v>369</v>
      </c>
      <c r="F24" s="71">
        <f>F27/F32</f>
        <v>0.39211144256609787</v>
      </c>
      <c r="G24" s="71">
        <f t="shared" ref="G24:K24" si="20">G27/G32</f>
        <v>0.56865220787543891</v>
      </c>
      <c r="H24" s="71">
        <f t="shared" si="20"/>
        <v>0.40887546426035704</v>
      </c>
      <c r="I24" s="71">
        <f t="shared" si="20"/>
        <v>0.23670390737815392</v>
      </c>
      <c r="J24" s="71">
        <f t="shared" si="20"/>
        <v>6.2810249603265547E-2</v>
      </c>
      <c r="K24" s="71">
        <f t="shared" si="20"/>
        <v>4.8520151263082151E-2</v>
      </c>
    </row>
    <row r="25" spans="1:11" s="43" customFormat="1" ht="13.8" thickBot="1" x14ac:dyDescent="0.3">
      <c r="A25" s="152">
        <f t="shared" si="11"/>
        <v>0.1334121964321433</v>
      </c>
      <c r="B25" s="152">
        <f t="shared" si="12"/>
        <v>2.8297825544030428</v>
      </c>
      <c r="C25" s="156">
        <f t="shared" si="14"/>
        <v>1.470344883145178</v>
      </c>
      <c r="D25" s="156">
        <f t="shared" si="15"/>
        <v>1.5574319603191027</v>
      </c>
      <c r="E25" s="49" t="s">
        <v>296</v>
      </c>
      <c r="F25" s="73">
        <f>F27/F33</f>
        <v>1.1058418541562316</v>
      </c>
      <c r="G25" s="73">
        <f t="shared" ref="G25:K25" si="21">G27/G33</f>
        <v>2.5927043653650244</v>
      </c>
      <c r="H25" s="73">
        <f t="shared" si="21"/>
        <v>2.8297825544030428</v>
      </c>
      <c r="I25" s="73">
        <f t="shared" si="21"/>
        <v>2.009022066481974</v>
      </c>
      <c r="J25" s="73">
        <f t="shared" si="21"/>
        <v>0.15130626203265141</v>
      </c>
      <c r="K25" s="73">
        <f t="shared" si="21"/>
        <v>0.1334121964321433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5225560.6899999995</v>
      </c>
      <c r="G27" s="76">
        <f t="shared" ref="G27:K27" si="22">G93+G86</f>
        <v>5883331.2999999998</v>
      </c>
      <c r="H27" s="76">
        <f t="shared" si="22"/>
        <v>4423709.25</v>
      </c>
      <c r="I27" s="76">
        <f t="shared" si="22"/>
        <v>2510495.29</v>
      </c>
      <c r="J27" s="76">
        <f t="shared" si="22"/>
        <v>520942.98</v>
      </c>
      <c r="K27" s="76">
        <f t="shared" si="22"/>
        <v>295920.06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471358.13</v>
      </c>
      <c r="G28" s="76">
        <f t="shared" ref="G28:K28" si="23">G116</f>
        <v>544104.53</v>
      </c>
      <c r="H28" s="76">
        <f t="shared" si="23"/>
        <v>1066345.53</v>
      </c>
      <c r="I28" s="76">
        <f t="shared" si="23"/>
        <v>404455.95</v>
      </c>
      <c r="J28" s="76">
        <f t="shared" si="23"/>
        <v>1886402.83</v>
      </c>
      <c r="K28" s="76">
        <f t="shared" si="23"/>
        <v>291786.46999999997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410311.09</v>
      </c>
      <c r="G29" s="76">
        <f t="shared" ref="G29:K29" si="24">G115</f>
        <v>427714.59</v>
      </c>
      <c r="H29" s="76">
        <f t="shared" si="24"/>
        <v>195722.17</v>
      </c>
      <c r="I29" s="76">
        <f t="shared" si="24"/>
        <v>215512.4</v>
      </c>
      <c r="J29" s="76">
        <f t="shared" si="24"/>
        <v>1267546.8899999999</v>
      </c>
      <c r="K29" s="76">
        <f t="shared" si="24"/>
        <v>1444143.52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2331636.29</v>
      </c>
      <c r="G30" s="76">
        <f t="shared" ref="G30:K30" si="25">G130</f>
        <v>1204931.27</v>
      </c>
      <c r="H30" s="76">
        <f t="shared" si="25"/>
        <v>2418774.5099999998</v>
      </c>
      <c r="I30" s="76">
        <f t="shared" si="25"/>
        <v>1480405.01</v>
      </c>
      <c r="J30" s="76">
        <f t="shared" si="25"/>
        <v>461200.41</v>
      </c>
      <c r="K30" s="76">
        <f t="shared" si="25"/>
        <v>904822.57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18052137.379999999</v>
      </c>
      <c r="G31" s="76">
        <f t="shared" ref="G31:K31" si="26">G120</f>
        <v>12615284.800000001</v>
      </c>
      <c r="H31" s="76">
        <f t="shared" si="26"/>
        <v>12382477.619999999</v>
      </c>
      <c r="I31" s="76">
        <f t="shared" si="26"/>
        <v>11855668.27</v>
      </c>
      <c r="J31" s="76">
        <f t="shared" si="26"/>
        <v>11736887.119999999</v>
      </c>
      <c r="K31" s="76">
        <f t="shared" si="26"/>
        <v>8316999.0099999998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13326723.279999999</v>
      </c>
      <c r="G32" s="76">
        <f t="shared" ref="G32:K32" si="27">G108</f>
        <v>10346097.699999999</v>
      </c>
      <c r="H32" s="76">
        <f t="shared" si="27"/>
        <v>10819209.359999999</v>
      </c>
      <c r="I32" s="76">
        <f t="shared" si="27"/>
        <v>10606057.66</v>
      </c>
      <c r="J32" s="76">
        <f t="shared" si="27"/>
        <v>8293916.7300000004</v>
      </c>
      <c r="K32" s="76">
        <f t="shared" si="27"/>
        <v>6098910.5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4725414.0999999996</v>
      </c>
      <c r="G33" s="76">
        <f t="shared" ref="G33:K33" si="28">G114</f>
        <v>2269187.1</v>
      </c>
      <c r="H33" s="76">
        <f t="shared" si="28"/>
        <v>1563268.26</v>
      </c>
      <c r="I33" s="76">
        <f t="shared" si="28"/>
        <v>1249610.6100000001</v>
      </c>
      <c r="J33" s="76">
        <f t="shared" si="28"/>
        <v>3442970.39</v>
      </c>
      <c r="K33" s="76">
        <f t="shared" si="28"/>
        <v>2218088.5099999998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0.13098931101111191</v>
      </c>
      <c r="B37" s="139">
        <f t="shared" ref="B37:B41" si="30">MAX(F37:K37)</f>
        <v>0.47034865062812847</v>
      </c>
      <c r="C37" s="160">
        <f t="shared" ref="C37:C41" si="31">AVERAGE(F37:K37)</f>
        <v>0.34652465064234028</v>
      </c>
      <c r="D37" s="160">
        <f t="shared" ref="D37:D41" si="32">MEDIAN(F37:K37)</f>
        <v>0.37391678528416739</v>
      </c>
      <c r="E37" s="47" t="s">
        <v>370</v>
      </c>
      <c r="F37" s="119">
        <f>F43/F44*100%</f>
        <v>0.28116731349625929</v>
      </c>
      <c r="G37" s="119">
        <f t="shared" ref="G37:K37" si="33">G43/G44*100%</f>
        <v>0.36348571377476946</v>
      </c>
      <c r="H37" s="119">
        <f t="shared" si="33"/>
        <v>0.47034865062812847</v>
      </c>
      <c r="I37" s="119">
        <f t="shared" si="33"/>
        <v>0.4488090581502075</v>
      </c>
      <c r="J37" s="119">
        <f t="shared" si="33"/>
        <v>0.38434785679356526</v>
      </c>
      <c r="K37" s="119">
        <f t="shared" si="33"/>
        <v>0.13098931101111191</v>
      </c>
    </row>
    <row r="38" spans="1:11" s="43" customFormat="1" ht="13.2" x14ac:dyDescent="0.25">
      <c r="A38" s="139">
        <f t="shared" si="29"/>
        <v>0.64174329740778024</v>
      </c>
      <c r="B38" s="139">
        <f t="shared" si="30"/>
        <v>864.02973602454745</v>
      </c>
      <c r="C38" s="155">
        <f t="shared" si="31"/>
        <v>145.62137456118873</v>
      </c>
      <c r="D38" s="156">
        <f t="shared" si="32"/>
        <v>2.1594734793451575</v>
      </c>
      <c r="E38" s="50" t="s">
        <v>298</v>
      </c>
      <c r="F38" s="122">
        <f>F43/F45</f>
        <v>1.3330731684835109</v>
      </c>
      <c r="G38" s="122">
        <f t="shared" ref="G38:K38" si="34">G43/G45</f>
        <v>1.2703172497983668</v>
      </c>
      <c r="H38" s="122">
        <f t="shared" si="34"/>
        <v>2.9858737902068047</v>
      </c>
      <c r="I38" s="122">
        <f t="shared" si="34"/>
        <v>3.4675038366884054</v>
      </c>
      <c r="J38" s="122">
        <f t="shared" si="34"/>
        <v>864.02973602454745</v>
      </c>
      <c r="K38" s="122">
        <f t="shared" si="34"/>
        <v>0.64174329740778024</v>
      </c>
    </row>
    <row r="39" spans="1:11" s="43" customFormat="1" ht="13.2" x14ac:dyDescent="0.25">
      <c r="A39" s="139">
        <f t="shared" si="29"/>
        <v>3.4948202959786943</v>
      </c>
      <c r="B39" s="139">
        <f t="shared" si="30"/>
        <v>2248.0409887874598</v>
      </c>
      <c r="C39" s="155">
        <f t="shared" si="31"/>
        <v>379.2084078819334</v>
      </c>
      <c r="D39" s="156">
        <f t="shared" si="32"/>
        <v>5.623708669773313</v>
      </c>
      <c r="E39" s="50" t="s">
        <v>299</v>
      </c>
      <c r="F39" s="122">
        <f>F44/F45</f>
        <v>4.7412096089940636</v>
      </c>
      <c r="G39" s="122">
        <f t="shared" ref="G39:K39" si="35">G44/G45</f>
        <v>3.4948202959786943</v>
      </c>
      <c r="H39" s="122">
        <f t="shared" si="35"/>
        <v>6.3482137903857287</v>
      </c>
      <c r="I39" s="122">
        <f t="shared" si="35"/>
        <v>7.7260112596210133</v>
      </c>
      <c r="J39" s="122">
        <f t="shared" si="35"/>
        <v>2248.0409887874598</v>
      </c>
      <c r="K39" s="122">
        <f t="shared" si="35"/>
        <v>4.8992035491608981</v>
      </c>
    </row>
    <row r="40" spans="1:11" s="43" customFormat="1" ht="26.4" x14ac:dyDescent="0.25">
      <c r="A40" s="139">
        <f t="shared" si="29"/>
        <v>2.2197357457663085E-2</v>
      </c>
      <c r="B40" s="139">
        <f t="shared" si="30"/>
        <v>0.34505290530561056</v>
      </c>
      <c r="C40" s="160">
        <f t="shared" si="31"/>
        <v>0.23102978521913797</v>
      </c>
      <c r="D40" s="160">
        <f t="shared" si="32"/>
        <v>0.27149113587262153</v>
      </c>
      <c r="E40" s="77" t="s">
        <v>371</v>
      </c>
      <c r="F40" s="119">
        <f>F46/F44*100%</f>
        <v>0.15200608228475604</v>
      </c>
      <c r="G40" s="119">
        <f t="shared" ref="G40:K40" si="36">G46/G44*100%</f>
        <v>0.2679721134793564</v>
      </c>
      <c r="H40" s="119">
        <f t="shared" si="36"/>
        <v>0.27501015826588671</v>
      </c>
      <c r="I40" s="119">
        <f t="shared" si="36"/>
        <v>0.32394009452155498</v>
      </c>
      <c r="J40" s="119">
        <f t="shared" si="36"/>
        <v>0.34505290530561056</v>
      </c>
      <c r="K40" s="119">
        <f t="shared" si="36"/>
        <v>2.2197357457663085E-2</v>
      </c>
    </row>
    <row r="41" spans="1:11" s="43" customFormat="1" ht="13.8" thickBot="1" x14ac:dyDescent="0.3">
      <c r="A41" s="139">
        <f t="shared" si="29"/>
        <v>-5.5096392681163584</v>
      </c>
      <c r="B41" s="139">
        <f t="shared" si="30"/>
        <v>9.206155512767813</v>
      </c>
      <c r="C41" s="155">
        <f t="shared" si="31"/>
        <v>4.0773585738933091</v>
      </c>
      <c r="D41" s="156">
        <f t="shared" si="32"/>
        <v>5.4699782760950564</v>
      </c>
      <c r="E41" s="51" t="s">
        <v>300</v>
      </c>
      <c r="F41" s="123">
        <f>(F47+F48)/F48</f>
        <v>1.4464481934962219</v>
      </c>
      <c r="G41" s="123">
        <f t="shared" ref="G41:K41" si="37">(G47+G48)/G48</f>
        <v>7.6440580280313739</v>
      </c>
      <c r="H41" s="123">
        <f t="shared" si="37"/>
        <v>3.2958985241587389</v>
      </c>
      <c r="I41" s="123">
        <f t="shared" si="37"/>
        <v>9.206155512767813</v>
      </c>
      <c r="J41" s="123">
        <f t="shared" si="37"/>
        <v>-5.5096392681163584</v>
      </c>
      <c r="K41" s="123">
        <f t="shared" si="37"/>
        <v>8.3812304530220647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5075670.9700000007</v>
      </c>
      <c r="G43" s="76">
        <f t="shared" ref="G43:K43" si="38">G129+G130</f>
        <v>4585475.8</v>
      </c>
      <c r="H43" s="76">
        <f t="shared" si="38"/>
        <v>5824081.6399999997</v>
      </c>
      <c r="I43" s="76">
        <f t="shared" si="38"/>
        <v>5320931.3099999996</v>
      </c>
      <c r="J43" s="76">
        <f t="shared" si="38"/>
        <v>4511047.41</v>
      </c>
      <c r="K43" s="76">
        <f t="shared" si="38"/>
        <v>1089437.97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18052137.379999999</v>
      </c>
      <c r="G44" s="76">
        <f t="shared" ref="G44:K44" si="39">G120</f>
        <v>12615284.800000001</v>
      </c>
      <c r="H44" s="76">
        <f t="shared" si="39"/>
        <v>12382477.619999999</v>
      </c>
      <c r="I44" s="76">
        <f t="shared" si="39"/>
        <v>11855668.27</v>
      </c>
      <c r="J44" s="76">
        <f t="shared" si="39"/>
        <v>11736887.119999999</v>
      </c>
      <c r="K44" s="76">
        <f t="shared" si="39"/>
        <v>8316999.0099999998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3807496.16</v>
      </c>
      <c r="G45" s="76">
        <f t="shared" ref="G45:K45" si="40">G122</f>
        <v>3609709.15</v>
      </c>
      <c r="H45" s="76">
        <f t="shared" si="40"/>
        <v>1950545.15</v>
      </c>
      <c r="I45" s="76">
        <f t="shared" si="40"/>
        <v>1534513.46</v>
      </c>
      <c r="J45" s="76">
        <f t="shared" si="40"/>
        <v>5220.9399999999996</v>
      </c>
      <c r="K45" s="76">
        <f t="shared" si="40"/>
        <v>1697622.67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2744034.68</v>
      </c>
      <c r="G46" s="76">
        <f t="shared" ref="G46:K46" si="41">G129</f>
        <v>3380544.53</v>
      </c>
      <c r="H46" s="76">
        <f t="shared" si="41"/>
        <v>3405307.13</v>
      </c>
      <c r="I46" s="76">
        <f t="shared" si="41"/>
        <v>3840526.3</v>
      </c>
      <c r="J46" s="76">
        <f t="shared" si="41"/>
        <v>4049847</v>
      </c>
      <c r="K46" s="76">
        <f t="shared" si="41"/>
        <v>184615.4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197787.01</v>
      </c>
      <c r="G47" s="76">
        <f t="shared" ref="G47:K47" si="42">G102</f>
        <v>1919164</v>
      </c>
      <c r="H47" s="76">
        <f t="shared" si="42"/>
        <v>416031.69</v>
      </c>
      <c r="I47" s="76">
        <f t="shared" si="42"/>
        <v>1269292.52</v>
      </c>
      <c r="J47" s="76">
        <f t="shared" si="42"/>
        <v>-1692401.73</v>
      </c>
      <c r="K47" s="76">
        <f t="shared" si="42"/>
        <v>481223.01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443023.43</v>
      </c>
      <c r="G48" s="76">
        <f t="shared" ref="G48:K48" si="43">G101</f>
        <v>288854.19</v>
      </c>
      <c r="H48" s="76">
        <f t="shared" si="43"/>
        <v>181206.48</v>
      </c>
      <c r="I48" s="76">
        <f t="shared" si="43"/>
        <v>154675.66</v>
      </c>
      <c r="J48" s="76">
        <f t="shared" si="43"/>
        <v>259983.95</v>
      </c>
      <c r="K48" s="76">
        <f t="shared" si="43"/>
        <v>65195.5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5.818838306579692E-2</v>
      </c>
      <c r="B52" s="139">
        <f t="shared" ref="B52:B63" si="45">MAX(F52:K52)</f>
        <v>4.1644186173914157</v>
      </c>
      <c r="C52" s="160">
        <f t="shared" ref="C52:C63" si="46">AVERAGE(F52:K52)</f>
        <v>0.93761199363796843</v>
      </c>
      <c r="D52" s="160">
        <f t="shared" ref="D52:D63" si="47">MEDIAN(F52:K52)</f>
        <v>0.28767647224960957</v>
      </c>
      <c r="E52" s="50" t="s">
        <v>350</v>
      </c>
      <c r="F52" s="119">
        <f t="shared" ref="F52:K52" si="48">(F65/(F70+F71))*100%</f>
        <v>5.818838306579692E-2</v>
      </c>
      <c r="G52" s="119">
        <f t="shared" si="48"/>
        <v>0.14749403165225336</v>
      </c>
      <c r="H52" s="119">
        <f t="shared" si="48"/>
        <v>8.6230290203534343E-2</v>
      </c>
      <c r="I52" s="119">
        <f t="shared" si="48"/>
        <v>0.42785891284696576</v>
      </c>
      <c r="J52" s="119">
        <f t="shared" si="48"/>
        <v>0.74148172666784518</v>
      </c>
      <c r="K52" s="120">
        <f t="shared" si="48"/>
        <v>4.1644186173914157</v>
      </c>
    </row>
    <row r="53" spans="1:11" s="43" customFormat="1" ht="13.2" x14ac:dyDescent="0.25">
      <c r="A53" s="139">
        <f t="shared" si="44"/>
        <v>-1.3604183595171695</v>
      </c>
      <c r="B53" s="139">
        <f t="shared" si="45"/>
        <v>0.14105295438840243</v>
      </c>
      <c r="C53" s="160">
        <f t="shared" si="46"/>
        <v>-0.17493074062217182</v>
      </c>
      <c r="D53" s="160">
        <f t="shared" si="47"/>
        <v>8.9903238157574922E-2</v>
      </c>
      <c r="E53" s="50" t="s">
        <v>351</v>
      </c>
      <c r="F53" s="119">
        <f>(F66/F70)*100%</f>
        <v>-0.12556722617672914</v>
      </c>
      <c r="G53" s="119">
        <f t="shared" ref="G53:K53" si="49">(G66/G70)*100%</f>
        <v>0.11300318946714877</v>
      </c>
      <c r="H53" s="119">
        <f t="shared" si="49"/>
        <v>6.6803286848001076E-2</v>
      </c>
      <c r="I53" s="119">
        <f t="shared" si="49"/>
        <v>0.11554171125731548</v>
      </c>
      <c r="J53" s="119">
        <f t="shared" si="49"/>
        <v>-1.3604183595171695</v>
      </c>
      <c r="K53" s="120">
        <f t="shared" si="49"/>
        <v>0.14105295438840243</v>
      </c>
    </row>
    <row r="54" spans="1:11" s="43" customFormat="1" ht="13.2" x14ac:dyDescent="0.25">
      <c r="A54" s="139">
        <f t="shared" si="44"/>
        <v>9.2189573136175658E-3</v>
      </c>
      <c r="B54" s="139">
        <f t="shared" si="45"/>
        <v>5.880073677339312E-2</v>
      </c>
      <c r="C54" s="160">
        <f t="shared" si="46"/>
        <v>3.7860562300324072E-2</v>
      </c>
      <c r="D54" s="160">
        <f t="shared" si="47"/>
        <v>4.0391761839906157E-2</v>
      </c>
      <c r="E54" s="50" t="s">
        <v>342</v>
      </c>
      <c r="F54" s="119">
        <f>(F67/SUM(F72:F74))*100%</f>
        <v>5.6025562041569645E-2</v>
      </c>
      <c r="G54" s="119">
        <f t="shared" ref="G54:K54" si="50">(G67/SUM(G72:G74))*100%</f>
        <v>2.2334593993551796E-2</v>
      </c>
      <c r="H54" s="119">
        <f t="shared" si="50"/>
        <v>9.2189573136175658E-3</v>
      </c>
      <c r="I54" s="119">
        <f t="shared" si="50"/>
        <v>4.7399495810146706E-2</v>
      </c>
      <c r="J54" s="119">
        <f t="shared" si="50"/>
        <v>5.880073677339312E-2</v>
      </c>
      <c r="K54" s="120">
        <f t="shared" si="50"/>
        <v>3.3384027869665607E-2</v>
      </c>
    </row>
    <row r="55" spans="1:11" s="43" customFormat="1" ht="13.2" x14ac:dyDescent="0.25">
      <c r="A55" s="139">
        <f t="shared" si="44"/>
        <v>0</v>
      </c>
      <c r="B55" s="139">
        <f t="shared" si="45"/>
        <v>0</v>
      </c>
      <c r="C55" s="160">
        <f t="shared" si="46"/>
        <v>0</v>
      </c>
      <c r="D55" s="160">
        <f t="shared" si="47"/>
        <v>0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0</v>
      </c>
      <c r="J55" s="119">
        <f t="shared" si="51"/>
        <v>0</v>
      </c>
      <c r="K55" s="120">
        <f t="shared" si="51"/>
        <v>0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>
        <f t="shared" si="46"/>
        <v>0</v>
      </c>
      <c r="D56" s="160">
        <f t="shared" si="47"/>
        <v>0</v>
      </c>
      <c r="E56" s="50" t="s">
        <v>344</v>
      </c>
      <c r="F56" s="119">
        <f>((F73-F77)/F77)*100%</f>
        <v>0</v>
      </c>
      <c r="G56" s="119">
        <f t="shared" si="51"/>
        <v>0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6.6898628157065015E-2</v>
      </c>
      <c r="B57" s="139">
        <f t="shared" si="45"/>
        <v>0.43775380744562581</v>
      </c>
      <c r="C57" s="160">
        <f t="shared" si="46"/>
        <v>0.26429531391096789</v>
      </c>
      <c r="D57" s="160">
        <f t="shared" si="47"/>
        <v>0.25467996720894553</v>
      </c>
      <c r="E57" s="50" t="s">
        <v>346</v>
      </c>
      <c r="F57" s="119">
        <f>((F74-F78)/F78)*100%</f>
        <v>0.43775380744562581</v>
      </c>
      <c r="G57" s="119">
        <f t="shared" si="51"/>
        <v>0.27253447985762069</v>
      </c>
      <c r="H57" s="119">
        <f t="shared" si="51"/>
        <v>6.6898628157065015E-2</v>
      </c>
      <c r="I57" s="119">
        <f t="shared" si="51"/>
        <v>0.35919653417051933</v>
      </c>
      <c r="J57" s="119">
        <f t="shared" si="51"/>
        <v>0.2368254545602704</v>
      </c>
      <c r="K57" s="120">
        <f t="shared" si="51"/>
        <v>0.21256297927470585</v>
      </c>
    </row>
    <row r="58" spans="1:11" s="43" customFormat="1" ht="13.2" x14ac:dyDescent="0.25">
      <c r="A58" s="139">
        <f t="shared" si="44"/>
        <v>-0.10644443860522701</v>
      </c>
      <c r="B58" s="139">
        <f t="shared" si="45"/>
        <v>6.4826338390388927E-2</v>
      </c>
      <c r="C58" s="155">
        <f t="shared" si="46"/>
        <v>1.197389076167049E-2</v>
      </c>
      <c r="D58" s="156">
        <f t="shared" si="47"/>
        <v>2.3510613280232011E-2</v>
      </c>
      <c r="E58" s="50" t="s">
        <v>356</v>
      </c>
      <c r="F58" s="71">
        <f>F68/(F70+F71+F72+F73+F74+F75)</f>
        <v>9.2709000844089819E-3</v>
      </c>
      <c r="G58" s="71">
        <f t="shared" ref="G58:K58" si="52">G68/(G70+G71+G72+G73+G74)</f>
        <v>6.4826338390388927E-2</v>
      </c>
      <c r="H58" s="71">
        <f t="shared" si="52"/>
        <v>1.64998506405305E-2</v>
      </c>
      <c r="I58" s="71">
        <f t="shared" si="52"/>
        <v>5.7169318139988025E-2</v>
      </c>
      <c r="J58" s="71">
        <f t="shared" si="52"/>
        <v>-0.10644443860522701</v>
      </c>
      <c r="K58" s="72">
        <f t="shared" si="52"/>
        <v>3.0521375919933518E-2</v>
      </c>
    </row>
    <row r="59" spans="1:11" s="43" customFormat="1" ht="13.2" x14ac:dyDescent="0.25">
      <c r="A59" s="139">
        <f t="shared" si="44"/>
        <v>-0.10644374702910359</v>
      </c>
      <c r="B59" s="139">
        <f t="shared" si="45"/>
        <v>6.4806512100112165E-2</v>
      </c>
      <c r="C59" s="155">
        <f t="shared" si="46"/>
        <v>1.1970669087746679E-2</v>
      </c>
      <c r="D59" s="156">
        <f t="shared" si="47"/>
        <v>2.3510539485056676E-2</v>
      </c>
      <c r="E59" s="50" t="s">
        <v>361</v>
      </c>
      <c r="F59" s="71">
        <f>F69/(F70+F71+F72+F73+F74+F75)</f>
        <v>9.2709000844089819E-3</v>
      </c>
      <c r="G59" s="71">
        <f t="shared" ref="G59:K59" si="53">G69/(G70+G71+G72+G73+G74+G75)</f>
        <v>6.4806512100112165E-2</v>
      </c>
      <c r="H59" s="71">
        <f t="shared" si="53"/>
        <v>1.6499811377498879E-2</v>
      </c>
      <c r="I59" s="71">
        <f t="shared" si="53"/>
        <v>5.7169270400949143E-2</v>
      </c>
      <c r="J59" s="71">
        <f t="shared" si="53"/>
        <v>-0.10644374702910359</v>
      </c>
      <c r="K59" s="72">
        <f t="shared" si="53"/>
        <v>3.0521267592614473E-2</v>
      </c>
    </row>
    <row r="60" spans="1:11" s="43" customFormat="1" ht="26.4" x14ac:dyDescent="0.25">
      <c r="A60" s="139">
        <f t="shared" si="44"/>
        <v>1.4982646891423115E-2</v>
      </c>
      <c r="B60" s="139">
        <f t="shared" si="45"/>
        <v>9.364851518403694E-2</v>
      </c>
      <c r="C60" s="160">
        <f t="shared" si="46"/>
        <v>5.2851387878217831E-2</v>
      </c>
      <c r="D60" s="160">
        <f t="shared" si="47"/>
        <v>4.9554311821397731E-2</v>
      </c>
      <c r="E60" s="50" t="s">
        <v>372</v>
      </c>
      <c r="F60" s="119">
        <f>F65/F79*100%</f>
        <v>1.4982646891423115E-2</v>
      </c>
      <c r="G60" s="119">
        <f t="shared" ref="G60:K60" si="54">G65/G79*100%</f>
        <v>7.8514554027349415E-2</v>
      </c>
      <c r="H60" s="119">
        <f t="shared" si="54"/>
        <v>3.0853987523702064E-2</v>
      </c>
      <c r="I60" s="119">
        <f t="shared" si="54"/>
        <v>9.364851518403694E-2</v>
      </c>
      <c r="J60" s="119">
        <f t="shared" si="54"/>
        <v>3.8968112696648315E-2</v>
      </c>
      <c r="K60" s="120">
        <f t="shared" si="54"/>
        <v>6.0140510946147148E-2</v>
      </c>
    </row>
    <row r="61" spans="1:11" s="43" customFormat="1" ht="13.2" x14ac:dyDescent="0.25">
      <c r="A61" s="139">
        <f t="shared" si="44"/>
        <v>-0.14419511005742722</v>
      </c>
      <c r="B61" s="139">
        <f t="shared" si="45"/>
        <v>0.15213005734123417</v>
      </c>
      <c r="C61" s="155">
        <f t="shared" si="46"/>
        <v>3.6235342462780068E-2</v>
      </c>
      <c r="D61" s="156">
        <f t="shared" si="47"/>
        <v>4.5729297261119628E-2</v>
      </c>
      <c r="E61" s="50" t="s">
        <v>373</v>
      </c>
      <c r="F61" s="71">
        <f>F69/F79</f>
        <v>1.0956431686539715E-2</v>
      </c>
      <c r="G61" s="71">
        <f t="shared" ref="G61:K61" si="55">G69/G79</f>
        <v>0.15213005734123417</v>
      </c>
      <c r="H61" s="71">
        <f t="shared" si="55"/>
        <v>3.3598420507381467E-2</v>
      </c>
      <c r="I61" s="71">
        <f t="shared" si="55"/>
        <v>0.1070620812840945</v>
      </c>
      <c r="J61" s="71">
        <f t="shared" si="55"/>
        <v>-0.14419511005742722</v>
      </c>
      <c r="K61" s="72">
        <f t="shared" si="55"/>
        <v>5.7860174014857796E-2</v>
      </c>
    </row>
    <row r="62" spans="1:11" s="43" customFormat="1" ht="26.4" x14ac:dyDescent="0.25">
      <c r="A62" s="139">
        <f t="shared" si="44"/>
        <v>-77.622382176389692</v>
      </c>
      <c r="B62" s="139">
        <f t="shared" si="45"/>
        <v>0.17173174877201794</v>
      </c>
      <c r="C62" s="155">
        <f t="shared" si="46"/>
        <v>-12.849001409759154</v>
      </c>
      <c r="D62" s="156">
        <f t="shared" si="47"/>
        <v>9.7062395656481892E-2</v>
      </c>
      <c r="E62" s="50" t="s">
        <v>374</v>
      </c>
      <c r="F62" s="71">
        <f>F69/F80</f>
        <v>5.1946739192509125E-2</v>
      </c>
      <c r="G62" s="71">
        <f>G66/G80</f>
        <v>0.15683830094732149</v>
      </c>
      <c r="H62" s="71">
        <f>H66/H80</f>
        <v>0.14217805212045465</v>
      </c>
      <c r="I62" s="71">
        <f>I66/I80</f>
        <v>0.17173174877201794</v>
      </c>
      <c r="J62" s="71">
        <f>J66/J80</f>
        <v>-77.622382176389692</v>
      </c>
      <c r="K62" s="72">
        <f>K66/K80</f>
        <v>5.6788768024640017E-3</v>
      </c>
    </row>
    <row r="63" spans="1:11" s="43" customFormat="1" ht="13.8" thickBot="1" x14ac:dyDescent="0.3">
      <c r="A63" s="139">
        <f t="shared" si="44"/>
        <v>4.1283297996350422E-2</v>
      </c>
      <c r="B63" s="139">
        <f t="shared" si="45"/>
        <v>0.2657413947641597</v>
      </c>
      <c r="C63" s="155">
        <f t="shared" si="46"/>
        <v>0.13990007442766145</v>
      </c>
      <c r="D63" s="156">
        <f t="shared" si="47"/>
        <v>0.12724162659705102</v>
      </c>
      <c r="E63" s="51" t="s">
        <v>302</v>
      </c>
      <c r="F63" s="73">
        <f t="shared" ref="F63:K63" si="56">F65/(F80+F81)</f>
        <v>4.1283297996350422E-2</v>
      </c>
      <c r="G63" s="73">
        <f t="shared" si="56"/>
        <v>0.14169492343802895</v>
      </c>
      <c r="H63" s="73">
        <f t="shared" si="56"/>
        <v>7.1332962528981483E-2</v>
      </c>
      <c r="I63" s="73">
        <f t="shared" si="56"/>
        <v>0.20655953808237504</v>
      </c>
      <c r="J63" s="73">
        <f t="shared" si="56"/>
        <v>0.1127883297560731</v>
      </c>
      <c r="K63" s="74">
        <f t="shared" si="56"/>
        <v>0.2657413947641597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270468.8</v>
      </c>
      <c r="G65" s="76">
        <f t="shared" ref="G65:K65" si="57">G97</f>
        <v>990483.46</v>
      </c>
      <c r="H65" s="76">
        <f t="shared" si="57"/>
        <v>382048.81</v>
      </c>
      <c r="I65" s="76">
        <f t="shared" si="57"/>
        <v>1110265.73</v>
      </c>
      <c r="J65" s="76">
        <f t="shared" si="57"/>
        <v>457364.34</v>
      </c>
      <c r="K65" s="76">
        <f t="shared" si="57"/>
        <v>500188.57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-527425.53</v>
      </c>
      <c r="G66" s="76">
        <f t="shared" ref="G66:K66" si="58">G95</f>
        <v>566140.65</v>
      </c>
      <c r="H66" s="76">
        <f t="shared" si="58"/>
        <v>277324.71000000002</v>
      </c>
      <c r="I66" s="76">
        <f t="shared" si="58"/>
        <v>263524.68</v>
      </c>
      <c r="J66" s="76">
        <f t="shared" si="58"/>
        <v>-405261.8</v>
      </c>
      <c r="K66" s="76">
        <f t="shared" si="58"/>
        <v>9640.59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934814.33</v>
      </c>
      <c r="G67" s="76">
        <f t="shared" ref="G67:K67" si="59">G92</f>
        <v>511222.81</v>
      </c>
      <c r="H67" s="76">
        <f t="shared" si="59"/>
        <v>191604.1</v>
      </c>
      <c r="I67" s="76">
        <f t="shared" si="59"/>
        <v>929381.05</v>
      </c>
      <c r="J67" s="76">
        <f t="shared" si="59"/>
        <v>898626.14</v>
      </c>
      <c r="K67" s="76">
        <f t="shared" si="59"/>
        <v>522347.98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197787.01</v>
      </c>
      <c r="G68" s="76">
        <f t="shared" ref="G68:K68" si="60">G102</f>
        <v>1919164</v>
      </c>
      <c r="H68" s="76">
        <f t="shared" si="60"/>
        <v>416031.69</v>
      </c>
      <c r="I68" s="76">
        <f t="shared" si="60"/>
        <v>1269292.52</v>
      </c>
      <c r="J68" s="76">
        <f t="shared" si="60"/>
        <v>-1692401.73</v>
      </c>
      <c r="K68" s="76">
        <f t="shared" si="60"/>
        <v>481223.01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197787.01</v>
      </c>
      <c r="G69" s="76">
        <f t="shared" ref="G69:K69" si="61">G104</f>
        <v>1919164</v>
      </c>
      <c r="H69" s="76">
        <f t="shared" si="61"/>
        <v>416031.69</v>
      </c>
      <c r="I69" s="76">
        <f t="shared" si="61"/>
        <v>1269292.52</v>
      </c>
      <c r="J69" s="76">
        <f t="shared" si="61"/>
        <v>-1692401.73</v>
      </c>
      <c r="K69" s="76">
        <f t="shared" si="61"/>
        <v>481223.01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4200343.88</v>
      </c>
      <c r="G70" s="76">
        <f t="shared" ref="G70:K70" si="62">G93</f>
        <v>5009952.84</v>
      </c>
      <c r="H70" s="76">
        <f t="shared" si="62"/>
        <v>4151363.25</v>
      </c>
      <c r="I70" s="76">
        <f t="shared" si="62"/>
        <v>2280775.29</v>
      </c>
      <c r="J70" s="76">
        <f t="shared" si="62"/>
        <v>297894.98</v>
      </c>
      <c r="K70" s="76">
        <f t="shared" si="62"/>
        <v>68347.31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447814.15</v>
      </c>
      <c r="G71" s="76">
        <f t="shared" ref="G71:K71" si="63">G98</f>
        <v>1705460.99</v>
      </c>
      <c r="H71" s="76">
        <f t="shared" si="63"/>
        <v>279200.64000000001</v>
      </c>
      <c r="I71" s="76">
        <f t="shared" si="63"/>
        <v>314158.92</v>
      </c>
      <c r="J71" s="76">
        <f t="shared" si="63"/>
        <v>318929.84999999998</v>
      </c>
      <c r="K71" s="76">
        <f t="shared" si="63"/>
        <v>51762.75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12589985.939999999</v>
      </c>
      <c r="G72" s="76">
        <f t="shared" ref="G72:K74" si="64">G85</f>
        <v>19628870.609999999</v>
      </c>
      <c r="H72" s="76">
        <f t="shared" si="64"/>
        <v>17455659.969999999</v>
      </c>
      <c r="I72" s="76">
        <f t="shared" si="64"/>
        <v>15860913.970000001</v>
      </c>
      <c r="J72" s="76">
        <f t="shared" si="64"/>
        <v>10366425.83</v>
      </c>
      <c r="K72" s="76">
        <f t="shared" si="64"/>
        <v>12439342.85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1025216.81</v>
      </c>
      <c r="G73" s="76">
        <f t="shared" si="64"/>
        <v>873378.46</v>
      </c>
      <c r="H73" s="76">
        <f t="shared" si="64"/>
        <v>272346</v>
      </c>
      <c r="I73" s="76">
        <f t="shared" si="64"/>
        <v>229720</v>
      </c>
      <c r="J73" s="76">
        <f t="shared" si="64"/>
        <v>223048</v>
      </c>
      <c r="K73" s="76">
        <f t="shared" si="64"/>
        <v>227572.75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3070293.94</v>
      </c>
      <c r="G74" s="76">
        <f t="shared" si="64"/>
        <v>2387032.4700000002</v>
      </c>
      <c r="H74" s="76">
        <f t="shared" si="64"/>
        <v>3055700.2</v>
      </c>
      <c r="I74" s="76">
        <f t="shared" si="64"/>
        <v>3516769.74</v>
      </c>
      <c r="J74" s="76">
        <f t="shared" si="64"/>
        <v>4693092.16</v>
      </c>
      <c r="K74" s="76">
        <f t="shared" si="64"/>
        <v>2979727.82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520.84</v>
      </c>
      <c r="G75" s="76">
        <f t="shared" ref="G75:K75" si="65">G100</f>
        <v>9056.98</v>
      </c>
      <c r="H75" s="76">
        <f t="shared" si="65"/>
        <v>60</v>
      </c>
      <c r="I75" s="76">
        <f t="shared" si="65"/>
        <v>18.54</v>
      </c>
      <c r="J75" s="76">
        <f t="shared" si="65"/>
        <v>103.3</v>
      </c>
      <c r="K75" s="76">
        <f t="shared" si="65"/>
        <v>55.96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12589985.939999999</v>
      </c>
      <c r="G76" s="76">
        <f t="shared" ref="G76:K78" si="66">G89</f>
        <v>19628870.609999999</v>
      </c>
      <c r="H76" s="76">
        <f t="shared" si="66"/>
        <v>17455659.969999999</v>
      </c>
      <c r="I76" s="76">
        <f t="shared" si="66"/>
        <v>15860913.970000001</v>
      </c>
      <c r="J76" s="76">
        <f t="shared" si="66"/>
        <v>10366425.83</v>
      </c>
      <c r="K76" s="76">
        <f t="shared" si="66"/>
        <v>12439342.85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1025216.81</v>
      </c>
      <c r="G77" s="76">
        <f t="shared" si="66"/>
        <v>873378.46</v>
      </c>
      <c r="H77" s="76">
        <f t="shared" si="66"/>
        <v>272346</v>
      </c>
      <c r="I77" s="76">
        <f t="shared" si="66"/>
        <v>229720</v>
      </c>
      <c r="J77" s="76">
        <f t="shared" si="66"/>
        <v>223048</v>
      </c>
      <c r="K77" s="76">
        <f t="shared" si="66"/>
        <v>227572.75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2135479.61</v>
      </c>
      <c r="G78" s="76">
        <f t="shared" si="66"/>
        <v>1875809.66</v>
      </c>
      <c r="H78" s="76">
        <f t="shared" si="66"/>
        <v>2864096.1</v>
      </c>
      <c r="I78" s="76">
        <f t="shared" si="66"/>
        <v>2587388.69</v>
      </c>
      <c r="J78" s="76">
        <f t="shared" si="66"/>
        <v>3794466.02</v>
      </c>
      <c r="K78" s="76">
        <f t="shared" si="66"/>
        <v>2457379.8399999999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18052137.379999999</v>
      </c>
      <c r="G79" s="76">
        <f t="shared" ref="G79:K79" si="67">G120</f>
        <v>12615284.800000001</v>
      </c>
      <c r="H79" s="76">
        <f t="shared" si="67"/>
        <v>12382477.619999999</v>
      </c>
      <c r="I79" s="76">
        <f t="shared" si="67"/>
        <v>11855668.27</v>
      </c>
      <c r="J79" s="76">
        <f t="shared" si="67"/>
        <v>11736887.119999999</v>
      </c>
      <c r="K79" s="76">
        <f t="shared" si="67"/>
        <v>8316999.0099999998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3807496.16</v>
      </c>
      <c r="G80" s="76">
        <f t="shared" ref="G80:K80" si="68">G122</f>
        <v>3609709.15</v>
      </c>
      <c r="H80" s="76">
        <f t="shared" si="68"/>
        <v>1950545.15</v>
      </c>
      <c r="I80" s="76">
        <f t="shared" si="68"/>
        <v>1534513.46</v>
      </c>
      <c r="J80" s="76">
        <f t="shared" si="68"/>
        <v>5220.9399999999996</v>
      </c>
      <c r="K80" s="76">
        <f t="shared" si="68"/>
        <v>1697622.67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2744034.68</v>
      </c>
      <c r="G81" s="76">
        <f t="shared" ref="G81:K81" si="69">G129</f>
        <v>3380544.53</v>
      </c>
      <c r="H81" s="76">
        <f t="shared" si="69"/>
        <v>3405307.13</v>
      </c>
      <c r="I81" s="76">
        <f t="shared" si="69"/>
        <v>3840526.3</v>
      </c>
      <c r="J81" s="76">
        <f t="shared" si="69"/>
        <v>4049847</v>
      </c>
      <c r="K81" s="76">
        <f t="shared" si="69"/>
        <v>184615.4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8" t="s">
        <v>23</v>
      </c>
      <c r="F84" s="90">
        <v>16685496.689999999</v>
      </c>
      <c r="G84" s="90">
        <v>22889281.539999999</v>
      </c>
      <c r="H84" s="90">
        <v>20783706.170000002</v>
      </c>
      <c r="I84" s="90">
        <v>19607403.710000001</v>
      </c>
      <c r="J84" s="90">
        <v>15282565.99</v>
      </c>
      <c r="K84" s="90">
        <v>15646643.42</v>
      </c>
    </row>
    <row r="85" spans="3:11" x14ac:dyDescent="0.3">
      <c r="E85" s="8" t="s">
        <v>3</v>
      </c>
      <c r="F85" s="90">
        <v>12589985.939999999</v>
      </c>
      <c r="G85" s="90">
        <v>19628870.609999999</v>
      </c>
      <c r="H85" s="90">
        <v>17455659.969999999</v>
      </c>
      <c r="I85" s="90">
        <v>15860913.970000001</v>
      </c>
      <c r="J85" s="90">
        <v>10366425.83</v>
      </c>
      <c r="K85" s="90">
        <v>12439342.85</v>
      </c>
    </row>
    <row r="86" spans="3:11" x14ac:dyDescent="0.3">
      <c r="E86" s="8" t="s">
        <v>4</v>
      </c>
      <c r="F86" s="90">
        <v>1025216.81</v>
      </c>
      <c r="G86" s="90">
        <v>873378.46</v>
      </c>
      <c r="H86" s="90">
        <v>272346</v>
      </c>
      <c r="I86" s="90">
        <v>229720</v>
      </c>
      <c r="J86" s="90">
        <v>223048</v>
      </c>
      <c r="K86" s="90">
        <v>227572.75</v>
      </c>
    </row>
    <row r="87" spans="3:11" x14ac:dyDescent="0.3">
      <c r="E87" s="8" t="s">
        <v>5</v>
      </c>
      <c r="F87" s="90">
        <v>3070293.94</v>
      </c>
      <c r="G87" s="90">
        <v>2387032.4700000002</v>
      </c>
      <c r="H87" s="90">
        <v>3055700.2</v>
      </c>
      <c r="I87" s="90">
        <v>3516769.74</v>
      </c>
      <c r="J87" s="90">
        <v>4693092.16</v>
      </c>
      <c r="K87" s="90">
        <v>2979727.82</v>
      </c>
    </row>
    <row r="88" spans="3:11" x14ac:dyDescent="0.3">
      <c r="E88" s="8" t="s">
        <v>6</v>
      </c>
      <c r="F88" s="90">
        <v>15750682.359999999</v>
      </c>
      <c r="G88" s="90">
        <v>22378058.73</v>
      </c>
      <c r="H88" s="90">
        <v>20592102.07</v>
      </c>
      <c r="I88" s="90">
        <v>18678022.66</v>
      </c>
      <c r="J88" s="90">
        <v>14383939.85</v>
      </c>
      <c r="K88" s="90">
        <v>15124295.439999999</v>
      </c>
    </row>
    <row r="89" spans="3:11" x14ac:dyDescent="0.3">
      <c r="E89" s="8" t="s">
        <v>7</v>
      </c>
      <c r="F89" s="90">
        <v>12589985.939999999</v>
      </c>
      <c r="G89" s="90">
        <v>19628870.609999999</v>
      </c>
      <c r="H89" s="90">
        <v>17455659.969999999</v>
      </c>
      <c r="I89" s="90">
        <v>15860913.970000001</v>
      </c>
      <c r="J89" s="90">
        <v>10366425.83</v>
      </c>
      <c r="K89" s="90">
        <v>12439342.85</v>
      </c>
    </row>
    <row r="90" spans="3:11" x14ac:dyDescent="0.3">
      <c r="E90" s="8" t="s">
        <v>8</v>
      </c>
      <c r="F90" s="90">
        <v>1025216.81</v>
      </c>
      <c r="G90" s="90">
        <v>873378.46</v>
      </c>
      <c r="H90" s="90">
        <v>272346</v>
      </c>
      <c r="I90" s="90">
        <v>229720</v>
      </c>
      <c r="J90" s="90">
        <v>223048</v>
      </c>
      <c r="K90" s="90">
        <v>227572.75</v>
      </c>
    </row>
    <row r="91" spans="3:11" x14ac:dyDescent="0.3">
      <c r="E91" s="8" t="s">
        <v>9</v>
      </c>
      <c r="F91" s="90">
        <v>2135479.61</v>
      </c>
      <c r="G91" s="90">
        <v>1875809.66</v>
      </c>
      <c r="H91" s="90">
        <v>2864096.1</v>
      </c>
      <c r="I91" s="90">
        <v>2587388.69</v>
      </c>
      <c r="J91" s="90">
        <v>3794466.02</v>
      </c>
      <c r="K91" s="90">
        <v>2457379.8399999999</v>
      </c>
    </row>
    <row r="92" spans="3:11" x14ac:dyDescent="0.3">
      <c r="E92" s="8" t="s">
        <v>10</v>
      </c>
      <c r="F92" s="90">
        <v>934814.33</v>
      </c>
      <c r="G92" s="90">
        <v>511222.81</v>
      </c>
      <c r="H92" s="90">
        <v>191604.1</v>
      </c>
      <c r="I92" s="90">
        <v>929381.05</v>
      </c>
      <c r="J92" s="90">
        <v>898626.14</v>
      </c>
      <c r="K92" s="90">
        <v>522347.98</v>
      </c>
    </row>
    <row r="93" spans="3:11" x14ac:dyDescent="0.3">
      <c r="E93" s="8" t="s">
        <v>11</v>
      </c>
      <c r="F93" s="90">
        <v>4200343.88</v>
      </c>
      <c r="G93" s="90">
        <v>5009952.84</v>
      </c>
      <c r="H93" s="90">
        <v>4151363.25</v>
      </c>
      <c r="I93" s="90">
        <v>2280775.29</v>
      </c>
      <c r="J93" s="90">
        <v>297894.98</v>
      </c>
      <c r="K93" s="90">
        <v>68347.31</v>
      </c>
    </row>
    <row r="94" spans="3:11" x14ac:dyDescent="0.3">
      <c r="E94" s="8" t="s">
        <v>12</v>
      </c>
      <c r="F94" s="90">
        <v>4727769.41</v>
      </c>
      <c r="G94" s="90">
        <v>4443812.1900000004</v>
      </c>
      <c r="H94" s="90">
        <v>3874038.54</v>
      </c>
      <c r="I94" s="90">
        <v>2017250.61</v>
      </c>
      <c r="J94" s="90">
        <v>703156.78</v>
      </c>
      <c r="K94" s="90">
        <v>58706.720000000001</v>
      </c>
    </row>
    <row r="95" spans="3:11" x14ac:dyDescent="0.3">
      <c r="E95" s="8" t="s">
        <v>13</v>
      </c>
      <c r="F95" s="90">
        <v>-527425.53</v>
      </c>
      <c r="G95" s="90">
        <v>566140.65</v>
      </c>
      <c r="H95" s="90">
        <v>277324.71000000002</v>
      </c>
      <c r="I95" s="90">
        <v>263524.68</v>
      </c>
      <c r="J95" s="90">
        <v>-405261.8</v>
      </c>
      <c r="K95" s="90">
        <v>9640.59</v>
      </c>
    </row>
    <row r="96" spans="3:11" x14ac:dyDescent="0.3">
      <c r="E96" s="8" t="s">
        <v>14</v>
      </c>
      <c r="F96" s="90">
        <v>136920</v>
      </c>
      <c r="G96" s="90">
        <v>86880</v>
      </c>
      <c r="H96" s="90">
        <v>86880</v>
      </c>
      <c r="I96" s="90">
        <v>82640</v>
      </c>
      <c r="J96" s="90">
        <v>36000</v>
      </c>
      <c r="K96" s="90">
        <v>31800</v>
      </c>
    </row>
    <row r="97" spans="5:11" x14ac:dyDescent="0.3">
      <c r="E97" s="8" t="s">
        <v>15</v>
      </c>
      <c r="F97" s="90">
        <v>270468.8</v>
      </c>
      <c r="G97" s="90">
        <v>990483.46</v>
      </c>
      <c r="H97" s="90">
        <v>382048.81</v>
      </c>
      <c r="I97" s="90">
        <v>1110265.73</v>
      </c>
      <c r="J97" s="90">
        <v>457364.34</v>
      </c>
      <c r="K97" s="90">
        <v>500188.57</v>
      </c>
    </row>
    <row r="98" spans="5:11" x14ac:dyDescent="0.3">
      <c r="E98" s="8" t="s">
        <v>16</v>
      </c>
      <c r="F98" s="90">
        <v>447814.15</v>
      </c>
      <c r="G98" s="90">
        <v>1705460.99</v>
      </c>
      <c r="H98" s="90">
        <v>279200.64000000001</v>
      </c>
      <c r="I98" s="90">
        <v>314158.92</v>
      </c>
      <c r="J98" s="90">
        <v>318929.84999999998</v>
      </c>
      <c r="K98" s="90">
        <v>51762.75</v>
      </c>
    </row>
    <row r="99" spans="5:11" x14ac:dyDescent="0.3">
      <c r="E99" s="8" t="s">
        <v>17</v>
      </c>
      <c r="F99" s="90">
        <v>77993.350000000006</v>
      </c>
      <c r="G99" s="90">
        <v>496983.24</v>
      </c>
      <c r="H99" s="90">
        <v>64071.28</v>
      </c>
      <c r="I99" s="90" t="s">
        <v>92</v>
      </c>
      <c r="J99" s="90">
        <v>2208815.27</v>
      </c>
      <c r="K99" s="90">
        <v>5588.77</v>
      </c>
    </row>
    <row r="100" spans="5:11" x14ac:dyDescent="0.3">
      <c r="E100" s="8" t="s">
        <v>18</v>
      </c>
      <c r="F100" s="107">
        <v>520.84</v>
      </c>
      <c r="G100" s="90">
        <v>9056.98</v>
      </c>
      <c r="H100" s="107">
        <v>60</v>
      </c>
      <c r="I100" s="107">
        <v>18.54</v>
      </c>
      <c r="J100" s="107">
        <v>103.3</v>
      </c>
      <c r="K100" s="107">
        <v>55.96</v>
      </c>
    </row>
    <row r="101" spans="5:11" x14ac:dyDescent="0.3">
      <c r="E101" s="8" t="s">
        <v>19</v>
      </c>
      <c r="F101" s="90">
        <v>443023.43</v>
      </c>
      <c r="G101" s="90">
        <v>288854.19</v>
      </c>
      <c r="H101" s="90">
        <v>181206.48</v>
      </c>
      <c r="I101" s="90">
        <v>154675.66</v>
      </c>
      <c r="J101" s="90">
        <v>259983.95</v>
      </c>
      <c r="K101" s="90">
        <v>65195.5</v>
      </c>
    </row>
    <row r="102" spans="5:11" x14ac:dyDescent="0.3">
      <c r="E102" s="8" t="s">
        <v>20</v>
      </c>
      <c r="F102" s="90">
        <v>197787.01</v>
      </c>
      <c r="G102" s="90">
        <v>1919164</v>
      </c>
      <c r="H102" s="90">
        <v>416031.69</v>
      </c>
      <c r="I102" s="90">
        <v>1269292.52</v>
      </c>
      <c r="J102" s="90">
        <v>-1692401.73</v>
      </c>
      <c r="K102" s="90">
        <v>481223.01</v>
      </c>
    </row>
    <row r="103" spans="5:11" x14ac:dyDescent="0.3">
      <c r="E103" s="8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8" t="s">
        <v>22</v>
      </c>
      <c r="F104" s="90">
        <v>197787.01</v>
      </c>
      <c r="G104" s="90">
        <v>1919164</v>
      </c>
      <c r="H104" s="90">
        <v>416031.69</v>
      </c>
      <c r="I104" s="90">
        <v>1269292.52</v>
      </c>
      <c r="J104" s="90">
        <v>-1692401.73</v>
      </c>
      <c r="K104" s="90">
        <v>481223.01</v>
      </c>
    </row>
    <row r="106" spans="5:11" x14ac:dyDescent="0.3">
      <c r="E106" s="117" t="s">
        <v>340</v>
      </c>
      <c r="F106" s="10"/>
      <c r="G106" s="10"/>
      <c r="H106" s="10"/>
      <c r="I106" s="10"/>
      <c r="J106" s="10"/>
      <c r="K106" s="10"/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13326723.279999999</v>
      </c>
      <c r="G108" s="90">
        <v>10346097.699999999</v>
      </c>
      <c r="H108" s="90">
        <v>10819209.359999999</v>
      </c>
      <c r="I108" s="90">
        <v>10606057.66</v>
      </c>
      <c r="J108" s="90">
        <v>8293916.7300000004</v>
      </c>
      <c r="K108" s="90">
        <v>6098910.5</v>
      </c>
    </row>
    <row r="109" spans="5:11" x14ac:dyDescent="0.3">
      <c r="E109" s="8" t="s">
        <v>27</v>
      </c>
      <c r="F109" s="90">
        <v>29115.16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x14ac:dyDescent="0.3">
      <c r="E110" s="8" t="s">
        <v>29</v>
      </c>
      <c r="F110" s="90">
        <v>13296358.119999999</v>
      </c>
      <c r="G110" s="90">
        <v>10344847.699999999</v>
      </c>
      <c r="H110" s="90">
        <v>10817959.359999999</v>
      </c>
      <c r="I110" s="90">
        <v>10603807.66</v>
      </c>
      <c r="J110" s="90">
        <v>8291666.7300000004</v>
      </c>
      <c r="K110" s="90">
        <v>6096660.5</v>
      </c>
    </row>
    <row r="111" spans="5:1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x14ac:dyDescent="0.3">
      <c r="E112" s="8" t="s">
        <v>31</v>
      </c>
      <c r="F112" s="90">
        <v>1250</v>
      </c>
      <c r="G112" s="90">
        <v>1250</v>
      </c>
      <c r="H112" s="90">
        <v>1250</v>
      </c>
      <c r="I112" s="90">
        <v>2250</v>
      </c>
      <c r="J112" s="90">
        <v>2250</v>
      </c>
      <c r="K112" s="90">
        <v>2250</v>
      </c>
    </row>
    <row r="113" spans="5:1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4725414.0999999996</v>
      </c>
      <c r="G114" s="90">
        <v>2269187.1</v>
      </c>
      <c r="H114" s="90">
        <v>1563268.26</v>
      </c>
      <c r="I114" s="90">
        <v>1249610.6100000001</v>
      </c>
      <c r="J114" s="90">
        <v>3442970.39</v>
      </c>
      <c r="K114" s="90">
        <v>2218088.5099999998</v>
      </c>
    </row>
    <row r="115" spans="5:11" x14ac:dyDescent="0.3">
      <c r="E115" s="8" t="s">
        <v>34</v>
      </c>
      <c r="F115" s="90">
        <v>410311.09</v>
      </c>
      <c r="G115" s="90">
        <v>427714.59</v>
      </c>
      <c r="H115" s="90">
        <v>195722.17</v>
      </c>
      <c r="I115" s="90">
        <v>215512.4</v>
      </c>
      <c r="J115" s="90">
        <v>1267546.8899999999</v>
      </c>
      <c r="K115" s="90">
        <v>1444143.52</v>
      </c>
    </row>
    <row r="116" spans="5:11" x14ac:dyDescent="0.3">
      <c r="E116" s="8" t="s">
        <v>35</v>
      </c>
      <c r="F116" s="90">
        <v>471358.13</v>
      </c>
      <c r="G116" s="90">
        <v>544104.53</v>
      </c>
      <c r="H116" s="90">
        <v>1066345.53</v>
      </c>
      <c r="I116" s="90">
        <v>404455.95</v>
      </c>
      <c r="J116" s="90">
        <v>1886402.83</v>
      </c>
      <c r="K116" s="90">
        <v>291786.46999999997</v>
      </c>
    </row>
    <row r="117" spans="5:11" x14ac:dyDescent="0.3">
      <c r="E117" s="8" t="s">
        <v>36</v>
      </c>
      <c r="F117" s="90">
        <v>3747815.02</v>
      </c>
      <c r="G117" s="90">
        <v>1245890.02</v>
      </c>
      <c r="H117" s="90">
        <v>258467.6</v>
      </c>
      <c r="I117" s="90">
        <v>588495.52</v>
      </c>
      <c r="J117" s="90">
        <v>279317.34000000003</v>
      </c>
      <c r="K117" s="90">
        <v>366013.49</v>
      </c>
    </row>
    <row r="118" spans="5:11" x14ac:dyDescent="0.3">
      <c r="E118" s="8" t="s">
        <v>37</v>
      </c>
      <c r="F118" s="90">
        <v>95929.86</v>
      </c>
      <c r="G118" s="90">
        <v>51477.96</v>
      </c>
      <c r="H118" s="90">
        <v>42732.959999999999</v>
      </c>
      <c r="I118" s="90">
        <v>41146.74</v>
      </c>
      <c r="J118" s="90">
        <v>9703.33</v>
      </c>
      <c r="K118" s="90">
        <v>116145.03</v>
      </c>
    </row>
    <row r="119" spans="5:1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18052137.379999999</v>
      </c>
      <c r="G120" s="90">
        <v>12615284.800000001</v>
      </c>
      <c r="H120" s="90">
        <v>12382477.619999999</v>
      </c>
      <c r="I120" s="90">
        <v>11855668.27</v>
      </c>
      <c r="J120" s="90">
        <v>11736887.119999999</v>
      </c>
      <c r="K120" s="90">
        <v>8316999.0099999998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3807496.16</v>
      </c>
      <c r="G122" s="90">
        <v>3609709.15</v>
      </c>
      <c r="H122" s="90">
        <v>1950545.15</v>
      </c>
      <c r="I122" s="90">
        <v>1534513.46</v>
      </c>
      <c r="J122" s="90">
        <v>5220.9399999999996</v>
      </c>
      <c r="K122" s="90">
        <v>1697622.67</v>
      </c>
    </row>
    <row r="123" spans="5:11" x14ac:dyDescent="0.3">
      <c r="E123" s="8" t="s">
        <v>42</v>
      </c>
      <c r="F123" s="90">
        <v>1274513.46</v>
      </c>
      <c r="G123" s="90">
        <v>1274513.46</v>
      </c>
      <c r="H123" s="90">
        <v>1534513.46</v>
      </c>
      <c r="I123" s="90">
        <v>265220.94</v>
      </c>
      <c r="J123" s="90">
        <v>1697622.67</v>
      </c>
      <c r="K123" s="90">
        <v>100559.6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x14ac:dyDescent="0.3">
      <c r="E125" s="8" t="s">
        <v>44</v>
      </c>
      <c r="F125" s="90">
        <v>2335195.69</v>
      </c>
      <c r="G125" s="90">
        <v>416031.69</v>
      </c>
      <c r="H125" s="107">
        <v>0</v>
      </c>
      <c r="I125" s="107">
        <v>0</v>
      </c>
      <c r="J125" s="107">
        <v>0</v>
      </c>
      <c r="K125" s="90">
        <v>1115840.06</v>
      </c>
    </row>
    <row r="126" spans="5:11" x14ac:dyDescent="0.3">
      <c r="E126" s="8" t="s">
        <v>45</v>
      </c>
      <c r="F126" s="90">
        <v>197787.01</v>
      </c>
      <c r="G126" s="90">
        <v>1919164</v>
      </c>
      <c r="H126" s="90">
        <v>416031.69</v>
      </c>
      <c r="I126" s="90">
        <v>1269292.52</v>
      </c>
      <c r="J126" s="90">
        <v>-1692401.73</v>
      </c>
      <c r="K126" s="90">
        <v>481223.01</v>
      </c>
    </row>
    <row r="127" spans="5:11" x14ac:dyDescent="0.3">
      <c r="E127" s="18" t="s">
        <v>91</v>
      </c>
      <c r="F127" s="90">
        <v>14244641.220000001</v>
      </c>
      <c r="G127" s="90">
        <v>9005575.6500000004</v>
      </c>
      <c r="H127" s="90">
        <v>10431932.470000001</v>
      </c>
      <c r="I127" s="90">
        <v>10321154.810000001</v>
      </c>
      <c r="J127" s="90">
        <v>11731666.18</v>
      </c>
      <c r="K127" s="90">
        <v>6619376.3399999999</v>
      </c>
    </row>
    <row r="128" spans="5:1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x14ac:dyDescent="0.3">
      <c r="E129" s="17" t="s">
        <v>89</v>
      </c>
      <c r="F129" s="90">
        <v>2744034.68</v>
      </c>
      <c r="G129" s="90">
        <v>3380544.53</v>
      </c>
      <c r="H129" s="90">
        <v>3405307.13</v>
      </c>
      <c r="I129" s="90">
        <v>3840526.3</v>
      </c>
      <c r="J129" s="90">
        <v>4049847</v>
      </c>
      <c r="K129" s="90">
        <v>184615.4</v>
      </c>
    </row>
    <row r="130" spans="5:11" x14ac:dyDescent="0.3">
      <c r="E130" s="17" t="s">
        <v>90</v>
      </c>
      <c r="F130" s="90">
        <v>2331636.29</v>
      </c>
      <c r="G130" s="90">
        <v>1204931.27</v>
      </c>
      <c r="H130" s="90">
        <v>2418774.5099999998</v>
      </c>
      <c r="I130" s="90">
        <v>1480405.01</v>
      </c>
      <c r="J130" s="90">
        <v>461200.41</v>
      </c>
      <c r="K130" s="90">
        <v>904822.57</v>
      </c>
    </row>
    <row r="131" spans="5:11" x14ac:dyDescent="0.3">
      <c r="E131" s="17" t="s">
        <v>88</v>
      </c>
      <c r="F131" s="90">
        <v>9168970.25</v>
      </c>
      <c r="G131" s="90">
        <v>4420099.8499999996</v>
      </c>
      <c r="H131" s="90">
        <v>4607850.83</v>
      </c>
      <c r="I131" s="90">
        <v>5000223.5</v>
      </c>
      <c r="J131" s="90">
        <v>7220618.7699999996</v>
      </c>
      <c r="K131" s="90">
        <v>5529938.3700000001</v>
      </c>
    </row>
    <row r="132" spans="5:11" x14ac:dyDescent="0.3">
      <c r="E132" s="7" t="s">
        <v>47</v>
      </c>
      <c r="F132" s="90">
        <v>18052137.379999999</v>
      </c>
      <c r="G132" s="90">
        <v>12615284.800000001</v>
      </c>
      <c r="H132" s="90">
        <v>12382477.619999999</v>
      </c>
      <c r="I132" s="90">
        <v>11855668.27</v>
      </c>
      <c r="J132" s="90">
        <v>11736887.119999999</v>
      </c>
      <c r="K132" s="90">
        <v>8316999.0099999998</v>
      </c>
    </row>
    <row r="133" spans="5:11" x14ac:dyDescent="0.3">
      <c r="E133"/>
      <c r="F133" s="10"/>
      <c r="G133" s="10"/>
      <c r="H133" s="10"/>
      <c r="I133" s="10"/>
      <c r="J133" s="10"/>
      <c r="K133" s="10"/>
    </row>
    <row r="134" spans="5:11" x14ac:dyDescent="0.3">
      <c r="E134" s="117" t="s">
        <v>339</v>
      </c>
      <c r="F134" s="55"/>
      <c r="G134" s="55"/>
      <c r="H134" s="55"/>
      <c r="I134" s="10"/>
      <c r="J134" s="10"/>
      <c r="K134" s="10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  <row r="178" spans="5:11" x14ac:dyDescent="0.3">
      <c r="E178"/>
      <c r="F178" s="10"/>
      <c r="G178" s="10"/>
      <c r="H178" s="10"/>
      <c r="I178" s="10"/>
      <c r="J178" s="10"/>
      <c r="K178" s="10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54D92-20EC-446A-8529-4CE62B48DA6C}">
  <sheetPr>
    <tabColor theme="5" tint="0.79998168889431442"/>
  </sheetPr>
  <dimension ref="A1:L177"/>
  <sheetViews>
    <sheetView topLeftCell="A144" workbookViewId="0">
      <selection sqref="A1:L18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402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0.13018438449444905</v>
      </c>
      <c r="B4" s="139">
        <f>MAX(F4:K4)</f>
        <v>0.88622603976221193</v>
      </c>
      <c r="C4" s="155">
        <f>AVERAGE(F4:K4)</f>
        <v>0.36751018035563404</v>
      </c>
      <c r="D4" s="156">
        <f>MEDIAN(F4:K4)</f>
        <v>0.25430214201743129</v>
      </c>
      <c r="E4" s="47" t="s">
        <v>364</v>
      </c>
      <c r="F4" s="71">
        <f>SUM(F9:F12)/SUM(F13:F15)</f>
        <v>0.53193045096912328</v>
      </c>
      <c r="G4" s="71">
        <f t="shared" ref="G4:K4" si="0">SUM(G9:G12)/SUM(G13:G15)</f>
        <v>0.30314738667914187</v>
      </c>
      <c r="H4" s="71">
        <f t="shared" si="0"/>
        <v>0.20545689735572076</v>
      </c>
      <c r="I4" s="71">
        <f t="shared" si="0"/>
        <v>0.13018438449444905</v>
      </c>
      <c r="J4" s="71">
        <f t="shared" si="0"/>
        <v>0.14811592287315714</v>
      </c>
      <c r="K4" s="71">
        <f t="shared" si="0"/>
        <v>0.88622603976221193</v>
      </c>
    </row>
    <row r="5" spans="1:11" s="43" customFormat="1" ht="13.2" x14ac:dyDescent="0.25">
      <c r="A5" s="139">
        <f t="shared" ref="A5:A7" si="1">MIN(F5:K5)</f>
        <v>2.6289976262164791</v>
      </c>
      <c r="B5" s="139">
        <f t="shared" ref="B5:B7" si="2">MAX(F5:K5)</f>
        <v>10.170626350962893</v>
      </c>
      <c r="C5" s="155">
        <f t="shared" ref="C5:C7" si="3">AVERAGEIF(F5:K5,"&gt;0")</f>
        <v>6.1851412861640052</v>
      </c>
      <c r="D5" s="156">
        <f t="shared" ref="D5:D7" si="4">_xlfn.AGGREGATE(12,6,F5:K5)</f>
        <v>5.9683283385362138</v>
      </c>
      <c r="E5" s="47" t="s">
        <v>363</v>
      </c>
      <c r="F5" s="71">
        <f t="shared" ref="F5:K5" si="5">SUM(F9:F12)/F14</f>
        <v>10.170626350962893</v>
      </c>
      <c r="G5" s="71">
        <f t="shared" si="5"/>
        <v>8.10375044002107</v>
      </c>
      <c r="H5" s="71">
        <f t="shared" si="5"/>
        <v>4.2708166227111635</v>
      </c>
      <c r="I5" s="71">
        <f t="shared" si="5"/>
        <v>2.6289976262164791</v>
      </c>
      <c r="J5" s="71">
        <f t="shared" si="5"/>
        <v>5.883510328248704</v>
      </c>
      <c r="K5" s="71">
        <f t="shared" si="5"/>
        <v>6.0531463488237227</v>
      </c>
    </row>
    <row r="6" spans="1:11" s="43" customFormat="1" ht="13.2" x14ac:dyDescent="0.25">
      <c r="A6" s="139">
        <f t="shared" si="1"/>
        <v>2.6052180907878291</v>
      </c>
      <c r="B6" s="139">
        <f t="shared" si="2"/>
        <v>10.114579083118359</v>
      </c>
      <c r="C6" s="155">
        <f t="shared" si="3"/>
        <v>5.8922430809787096</v>
      </c>
      <c r="D6" s="156">
        <f t="shared" si="4"/>
        <v>5.1626011632161273</v>
      </c>
      <c r="E6" s="47" t="s">
        <v>365</v>
      </c>
      <c r="F6" s="71">
        <f t="shared" ref="F6:K6" si="6">SUM(F10:F11)/F14</f>
        <v>10.114579083118359</v>
      </c>
      <c r="G6" s="71">
        <f t="shared" si="6"/>
        <v>8.0605821193020901</v>
      </c>
      <c r="H6" s="71">
        <f t="shared" si="6"/>
        <v>4.2478768662317252</v>
      </c>
      <c r="I6" s="71">
        <f t="shared" si="6"/>
        <v>2.6052180907878291</v>
      </c>
      <c r="J6" s="71">
        <f t="shared" si="6"/>
        <v>5.8324386548474152</v>
      </c>
      <c r="K6" s="71">
        <f t="shared" si="6"/>
        <v>4.4927636715848402</v>
      </c>
    </row>
    <row r="7" spans="1:11" s="43" customFormat="1" ht="13.8" thickBot="1" x14ac:dyDescent="0.3">
      <c r="A7" s="139">
        <f t="shared" si="1"/>
        <v>1.6882753752160919</v>
      </c>
      <c r="B7" s="139">
        <f t="shared" si="2"/>
        <v>7.3978506908394293</v>
      </c>
      <c r="C7" s="155">
        <f t="shared" si="3"/>
        <v>4.3291143861752808</v>
      </c>
      <c r="D7" s="156">
        <f t="shared" si="4"/>
        <v>4.5429640532310351</v>
      </c>
      <c r="E7" s="49" t="s">
        <v>366</v>
      </c>
      <c r="F7" s="73">
        <f t="shared" ref="F7:K7" si="7">F11/F14</f>
        <v>7.3978506908394293</v>
      </c>
      <c r="G7" s="73">
        <f t="shared" si="7"/>
        <v>5.2996871739864764</v>
      </c>
      <c r="H7" s="73">
        <f t="shared" si="7"/>
        <v>2.502944970547615</v>
      </c>
      <c r="I7" s="73">
        <f t="shared" si="7"/>
        <v>1.6882753752160919</v>
      </c>
      <c r="J7" s="73">
        <f t="shared" si="7"/>
        <v>4.5931644348772309</v>
      </c>
      <c r="K7" s="73">
        <f t="shared" si="7"/>
        <v>4.4927636715848402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1424612.27</v>
      </c>
      <c r="G10" s="76">
        <f t="shared" si="8"/>
        <v>1051991.78</v>
      </c>
      <c r="H10" s="76">
        <f t="shared" si="8"/>
        <v>911743.44</v>
      </c>
      <c r="I10" s="76">
        <f t="shared" si="8"/>
        <v>509923.04</v>
      </c>
      <c r="J10" s="76">
        <f t="shared" si="8"/>
        <v>226044.51</v>
      </c>
      <c r="K10" s="76">
        <f t="shared" si="8"/>
        <v>0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3879323.71</v>
      </c>
      <c r="G11" s="76">
        <f t="shared" si="8"/>
        <v>2019355.12</v>
      </c>
      <c r="H11" s="76">
        <f t="shared" si="8"/>
        <v>1307812.45</v>
      </c>
      <c r="I11" s="76">
        <f t="shared" si="8"/>
        <v>938870.55</v>
      </c>
      <c r="J11" s="76">
        <f t="shared" si="8"/>
        <v>837796.5</v>
      </c>
      <c r="K11" s="76">
        <f t="shared" si="8"/>
        <v>889105.89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29390.36</v>
      </c>
      <c r="G12" s="76">
        <f t="shared" si="8"/>
        <v>16448.55</v>
      </c>
      <c r="H12" s="76">
        <f t="shared" si="8"/>
        <v>11986.24</v>
      </c>
      <c r="I12" s="76">
        <f t="shared" si="8"/>
        <v>13224.09</v>
      </c>
      <c r="J12" s="76">
        <f t="shared" si="8"/>
        <v>9315.51</v>
      </c>
      <c r="K12" s="76">
        <f t="shared" si="8"/>
        <v>308795.55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524385.24</v>
      </c>
      <c r="G14" s="76">
        <f t="shared" ref="G14:K15" si="10">G130</f>
        <v>381032.89</v>
      </c>
      <c r="H14" s="76">
        <f t="shared" si="10"/>
        <v>522509.47</v>
      </c>
      <c r="I14" s="76">
        <f t="shared" si="10"/>
        <v>556112.21</v>
      </c>
      <c r="J14" s="76">
        <f t="shared" si="10"/>
        <v>182400.72</v>
      </c>
      <c r="K14" s="76">
        <f t="shared" si="10"/>
        <v>197897.32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9501975.0299999993</v>
      </c>
      <c r="G15" s="76">
        <f t="shared" si="10"/>
        <v>9804756.5500000007</v>
      </c>
      <c r="H15" s="76">
        <f t="shared" si="10"/>
        <v>10338854.439999999</v>
      </c>
      <c r="I15" s="76">
        <f t="shared" si="10"/>
        <v>10674249.140000001</v>
      </c>
      <c r="J15" s="76">
        <f t="shared" si="10"/>
        <v>7062981.8099999996</v>
      </c>
      <c r="K15" s="76">
        <f t="shared" si="10"/>
        <v>1153791.06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0</v>
      </c>
      <c r="B19" s="152">
        <f t="shared" ref="B19:B25" si="12">MAX(F19:K19)</f>
        <v>404.65352343244246</v>
      </c>
      <c r="C19" s="156">
        <f>AVERAGE(F19:K19)</f>
        <v>279.89952743772022</v>
      </c>
      <c r="D19" s="156">
        <f>MEDIAN(F19:K19)</f>
        <v>325.65948517769419</v>
      </c>
      <c r="E19" s="47" t="s">
        <v>293</v>
      </c>
      <c r="F19" s="71">
        <f>F28/(F27/365)</f>
        <v>341.90544828453648</v>
      </c>
      <c r="G19" s="71">
        <f t="shared" ref="G19:K19" si="13">G28/(G27/365)</f>
        <v>316.79632514381456</v>
      </c>
      <c r="H19" s="71">
        <f t="shared" si="13"/>
        <v>334.52264521157383</v>
      </c>
      <c r="I19" s="71">
        <f t="shared" si="13"/>
        <v>404.65352343244246</v>
      </c>
      <c r="J19" s="71">
        <f t="shared" si="13"/>
        <v>281.5192225539538</v>
      </c>
      <c r="K19" s="71">
        <f t="shared" si="13"/>
        <v>0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114.74407082432462</v>
      </c>
      <c r="B21" s="152">
        <f t="shared" si="12"/>
        <v>441.30731021744447</v>
      </c>
      <c r="C21" s="156">
        <f t="shared" si="14"/>
        <v>226.65551740869691</v>
      </c>
      <c r="D21" s="156">
        <f t="shared" si="15"/>
        <v>209.43779787849616</v>
      </c>
      <c r="E21" s="47" t="s">
        <v>368</v>
      </c>
      <c r="F21" s="71">
        <f>F30/(F27/365)</f>
        <v>125.85190674792815</v>
      </c>
      <c r="G21" s="71">
        <f t="shared" ref="G21:K21" si="17">G30/(G27/365)</f>
        <v>114.74407082432462</v>
      </c>
      <c r="H21" s="71">
        <f t="shared" si="17"/>
        <v>191.71100375835715</v>
      </c>
      <c r="I21" s="71">
        <f t="shared" si="17"/>
        <v>441.30731021744447</v>
      </c>
      <c r="J21" s="71">
        <f t="shared" si="17"/>
        <v>227.16459199863516</v>
      </c>
      <c r="K21" s="71">
        <f t="shared" si="17"/>
        <v>259.15422090549191</v>
      </c>
    </row>
    <row r="22" spans="1:11" s="43" customFormat="1" ht="13.2" x14ac:dyDescent="0.25">
      <c r="A22" s="152">
        <f t="shared" si="11"/>
        <v>-259.15422090549191</v>
      </c>
      <c r="B22" s="152">
        <f t="shared" si="12"/>
        <v>216.05354153660832</v>
      </c>
      <c r="C22" s="156">
        <f t="shared" si="14"/>
        <v>53.244010029023265</v>
      </c>
      <c r="D22" s="156">
        <f t="shared" si="15"/>
        <v>98.583136004267658</v>
      </c>
      <c r="E22" s="47" t="s">
        <v>294</v>
      </c>
      <c r="F22" s="71">
        <f>F19+F20-F21</f>
        <v>216.05354153660832</v>
      </c>
      <c r="G22" s="71">
        <f t="shared" ref="G22:K22" si="18">G19+G20-G21</f>
        <v>202.05225431948992</v>
      </c>
      <c r="H22" s="71">
        <f t="shared" si="18"/>
        <v>142.81164145321668</v>
      </c>
      <c r="I22" s="71">
        <f t="shared" si="18"/>
        <v>-36.653786785002012</v>
      </c>
      <c r="J22" s="71">
        <f t="shared" si="18"/>
        <v>54.354630555318636</v>
      </c>
      <c r="K22" s="71">
        <f t="shared" si="18"/>
        <v>-259.15422090549191</v>
      </c>
    </row>
    <row r="23" spans="1:11" s="43" customFormat="1" ht="13.2" x14ac:dyDescent="0.25">
      <c r="A23" s="152">
        <f t="shared" si="11"/>
        <v>2.7466706078644702E-2</v>
      </c>
      <c r="B23" s="152">
        <f t="shared" si="12"/>
        <v>8.4529250012279011E-2</v>
      </c>
      <c r="C23" s="156">
        <f t="shared" si="14"/>
        <v>5.6480558623870726E-2</v>
      </c>
      <c r="D23" s="156">
        <f t="shared" si="15"/>
        <v>5.9369985751528603E-2</v>
      </c>
      <c r="E23" s="47" t="s">
        <v>295</v>
      </c>
      <c r="F23" s="71">
        <f>F27/F31</f>
        <v>8.4529250012279011E-2</v>
      </c>
      <c r="G23" s="71">
        <f t="shared" ref="G23:K23" si="19">G27/G31</f>
        <v>7.6894592404744888E-2</v>
      </c>
      <c r="H23" s="71">
        <f t="shared" si="19"/>
        <v>6.5807046187117718E-2</v>
      </c>
      <c r="I23" s="71">
        <f t="shared" si="19"/>
        <v>3.1252831744498534E-2</v>
      </c>
      <c r="J23" s="71">
        <f t="shared" si="19"/>
        <v>2.7466706078644702E-2</v>
      </c>
      <c r="K23" s="71">
        <f t="shared" si="19"/>
        <v>5.2932925315939496E-2</v>
      </c>
    </row>
    <row r="24" spans="1:11" s="43" customFormat="1" ht="13.2" x14ac:dyDescent="0.25">
      <c r="A24" s="152">
        <f t="shared" si="11"/>
        <v>3.0538079300513256E-2</v>
      </c>
      <c r="B24" s="152">
        <f t="shared" si="12"/>
        <v>0.12014328172662281</v>
      </c>
      <c r="C24" s="156">
        <f t="shared" si="14"/>
        <v>7.1122244225664252E-2</v>
      </c>
      <c r="D24" s="156">
        <f t="shared" si="15"/>
        <v>7.2862409277982515E-2</v>
      </c>
      <c r="E24" s="121" t="s">
        <v>369</v>
      </c>
      <c r="F24" s="71">
        <f>F27/F32</f>
        <v>0.12014328172662281</v>
      </c>
      <c r="G24" s="71">
        <f t="shared" ref="G24:K24" si="20">G27/G32</f>
        <v>9.5627331439181645E-2</v>
      </c>
      <c r="H24" s="71">
        <f t="shared" si="20"/>
        <v>7.7203646331338374E-2</v>
      </c>
      <c r="I24" s="71">
        <f t="shared" si="20"/>
        <v>3.4699954331702705E-2</v>
      </c>
      <c r="J24" s="71">
        <f t="shared" si="20"/>
        <v>3.0538079300513256E-2</v>
      </c>
      <c r="K24" s="71">
        <f t="shared" si="20"/>
        <v>6.8521172224626656E-2</v>
      </c>
    </row>
    <row r="25" spans="1:11" s="43" customFormat="1" ht="13.8" thickBot="1" x14ac:dyDescent="0.3">
      <c r="A25" s="152">
        <f t="shared" si="11"/>
        <v>0.23267697215557234</v>
      </c>
      <c r="B25" s="152">
        <f t="shared" si="12"/>
        <v>0.44579469803691318</v>
      </c>
      <c r="C25" s="156">
        <f t="shared" si="14"/>
        <v>0.3239768609584977</v>
      </c>
      <c r="D25" s="156">
        <f t="shared" si="15"/>
        <v>0.29987996127075334</v>
      </c>
      <c r="E25" s="49" t="s">
        <v>296</v>
      </c>
      <c r="F25" s="73">
        <f>F27/F33</f>
        <v>0.28515787203825971</v>
      </c>
      <c r="G25" s="73">
        <f t="shared" ref="G25:K25" si="21">G27/G33</f>
        <v>0.39253334284173513</v>
      </c>
      <c r="H25" s="73">
        <f t="shared" si="21"/>
        <v>0.44579469803691318</v>
      </c>
      <c r="I25" s="73">
        <f t="shared" si="21"/>
        <v>0.31460205050324702</v>
      </c>
      <c r="J25" s="73">
        <f t="shared" si="21"/>
        <v>0.27309623017525902</v>
      </c>
      <c r="K25" s="73">
        <f t="shared" si="21"/>
        <v>0.23267697215557234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1520839.99</v>
      </c>
      <c r="G27" s="76">
        <f t="shared" ref="G27:K27" si="22">G93+G86</f>
        <v>1212062.67</v>
      </c>
      <c r="H27" s="76">
        <f t="shared" si="22"/>
        <v>994809.65</v>
      </c>
      <c r="I27" s="76">
        <f t="shared" si="22"/>
        <v>459953.76</v>
      </c>
      <c r="J27" s="76">
        <f t="shared" si="22"/>
        <v>293075</v>
      </c>
      <c r="K27" s="76">
        <f t="shared" si="22"/>
        <v>278724.08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1424612.27</v>
      </c>
      <c r="G28" s="76">
        <f t="shared" ref="G28:K28" si="23">G116</f>
        <v>1051991.78</v>
      </c>
      <c r="H28" s="76">
        <f t="shared" si="23"/>
        <v>911743.44</v>
      </c>
      <c r="I28" s="76">
        <f t="shared" si="23"/>
        <v>509923.04</v>
      </c>
      <c r="J28" s="76">
        <f t="shared" si="23"/>
        <v>226044.51</v>
      </c>
      <c r="K28" s="76">
        <f t="shared" si="23"/>
        <v>0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524385.24</v>
      </c>
      <c r="G30" s="76">
        <f t="shared" ref="G30:K30" si="25">G130</f>
        <v>381032.89</v>
      </c>
      <c r="H30" s="76">
        <f t="shared" si="25"/>
        <v>522509.47</v>
      </c>
      <c r="I30" s="76">
        <f t="shared" si="25"/>
        <v>556112.21</v>
      </c>
      <c r="J30" s="76">
        <f t="shared" si="25"/>
        <v>182400.72</v>
      </c>
      <c r="K30" s="76">
        <f t="shared" si="25"/>
        <v>197897.32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17991878.43</v>
      </c>
      <c r="G31" s="76">
        <f t="shared" ref="G31:K31" si="26">G120</f>
        <v>15762651.6</v>
      </c>
      <c r="H31" s="76">
        <f t="shared" si="26"/>
        <v>15117068.880000001</v>
      </c>
      <c r="I31" s="76">
        <f t="shared" si="26"/>
        <v>14717186.710000001</v>
      </c>
      <c r="J31" s="76">
        <f t="shared" si="26"/>
        <v>10670191</v>
      </c>
      <c r="K31" s="76">
        <f t="shared" si="26"/>
        <v>5265608.8499999996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12658552.09</v>
      </c>
      <c r="G32" s="76">
        <f t="shared" ref="G32:K32" si="27">G108</f>
        <v>12674856.15</v>
      </c>
      <c r="H32" s="76">
        <f t="shared" si="27"/>
        <v>12885526.75</v>
      </c>
      <c r="I32" s="76">
        <f t="shared" si="27"/>
        <v>13255169.029999999</v>
      </c>
      <c r="J32" s="76">
        <f t="shared" si="27"/>
        <v>9597034.4800000004</v>
      </c>
      <c r="K32" s="76">
        <f t="shared" si="27"/>
        <v>4067707.41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5333326.34</v>
      </c>
      <c r="G33" s="76">
        <f t="shared" ref="G33:K33" si="28">G114</f>
        <v>3087795.45</v>
      </c>
      <c r="H33" s="76">
        <f t="shared" si="28"/>
        <v>2231542.13</v>
      </c>
      <c r="I33" s="76">
        <f t="shared" si="28"/>
        <v>1462017.68</v>
      </c>
      <c r="J33" s="76">
        <f t="shared" si="28"/>
        <v>1073156.52</v>
      </c>
      <c r="K33" s="76">
        <f t="shared" si="28"/>
        <v>1197901.44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1.7094419396991113E-2</v>
      </c>
      <c r="B37" s="139">
        <f t="shared" ref="B37:B41" si="30">MAX(F37:K37)</f>
        <v>3.7786583873542494E-2</v>
      </c>
      <c r="C37" s="160">
        <f t="shared" ref="C37:C41" si="31">AVERAGE(F37:K37)</f>
        <v>3.0057834675829148E-2</v>
      </c>
      <c r="D37" s="160">
        <f t="shared" ref="D37:D41" si="32">MEDIAN(F37:K37)</f>
        <v>3.1854934477976105E-2</v>
      </c>
      <c r="E37" s="47" t="s">
        <v>370</v>
      </c>
      <c r="F37" s="119">
        <f>F43/F44*100%</f>
        <v>2.9145663808267518E-2</v>
      </c>
      <c r="G37" s="119">
        <f t="shared" ref="G37:K37" si="33">G43/G44*100%</f>
        <v>2.4173146731226364E-2</v>
      </c>
      <c r="H37" s="119">
        <f t="shared" si="33"/>
        <v>3.4564205147684685E-2</v>
      </c>
      <c r="I37" s="119">
        <f t="shared" si="33"/>
        <v>3.7786583873542494E-2</v>
      </c>
      <c r="J37" s="119">
        <f t="shared" si="33"/>
        <v>1.7094419396991113E-2</v>
      </c>
      <c r="K37" s="119">
        <f t="shared" si="33"/>
        <v>3.7582989097262709E-2</v>
      </c>
    </row>
    <row r="38" spans="1:11" s="43" customFormat="1" ht="13.2" x14ac:dyDescent="0.25">
      <c r="A38" s="139">
        <f t="shared" si="29"/>
        <v>5.0562427498686502E-2</v>
      </c>
      <c r="B38" s="139">
        <f t="shared" si="30"/>
        <v>0.1594895506897426</v>
      </c>
      <c r="C38" s="155">
        <f t="shared" si="31"/>
        <v>8.6707504228107649E-2</v>
      </c>
      <c r="D38" s="156">
        <f t="shared" si="32"/>
        <v>6.7077895427707937E-2</v>
      </c>
      <c r="E38" s="50" t="s">
        <v>298</v>
      </c>
      <c r="F38" s="122">
        <f>F43/F45</f>
        <v>6.5831905654710102E-2</v>
      </c>
      <c r="G38" s="122">
        <f t="shared" ref="G38:K38" si="34">G43/G45</f>
        <v>6.8323885200705772E-2</v>
      </c>
      <c r="H38" s="122">
        <f t="shared" si="34"/>
        <v>0.12277859336663556</v>
      </c>
      <c r="I38" s="122">
        <f t="shared" si="34"/>
        <v>0.1594895506897426</v>
      </c>
      <c r="J38" s="122">
        <f t="shared" si="34"/>
        <v>5.3258662958165365E-2</v>
      </c>
      <c r="K38" s="122">
        <f t="shared" si="34"/>
        <v>5.0562427498686502E-2</v>
      </c>
    </row>
    <row r="39" spans="1:11" s="43" customFormat="1" ht="13.2" x14ac:dyDescent="0.25">
      <c r="A39" s="139">
        <f t="shared" si="29"/>
        <v>1.3453540740954297</v>
      </c>
      <c r="B39" s="139">
        <f t="shared" si="30"/>
        <v>4.2207983453464388</v>
      </c>
      <c r="C39" s="155">
        <f t="shared" si="31"/>
        <v>2.8865096285103213</v>
      </c>
      <c r="D39" s="156">
        <f t="shared" si="32"/>
        <v>2.9709979131551094</v>
      </c>
      <c r="E39" s="50" t="s">
        <v>299</v>
      </c>
      <c r="F39" s="122">
        <f>F44/F45</f>
        <v>2.2587204082151011</v>
      </c>
      <c r="G39" s="122">
        <f t="shared" ref="G39:K39" si="35">G44/G45</f>
        <v>2.8264373670659273</v>
      </c>
      <c r="H39" s="122">
        <f t="shared" si="35"/>
        <v>3.5521891170947413</v>
      </c>
      <c r="I39" s="122">
        <f t="shared" si="35"/>
        <v>4.2207983453464388</v>
      </c>
      <c r="J39" s="122">
        <f t="shared" si="35"/>
        <v>3.1155584592442915</v>
      </c>
      <c r="K39" s="122">
        <f t="shared" si="35"/>
        <v>1.3453540740954297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-57.451004548900677</v>
      </c>
      <c r="B41" s="139">
        <f t="shared" si="30"/>
        <v>2552.232426315958</v>
      </c>
      <c r="C41" s="155">
        <f t="shared" si="31"/>
        <v>828.49394450412137</v>
      </c>
      <c r="D41" s="156">
        <f t="shared" si="32"/>
        <v>458.00656149923145</v>
      </c>
      <c r="E41" s="51" t="s">
        <v>300</v>
      </c>
      <c r="F41" s="123">
        <f>(F47+F48)/F48</f>
        <v>2552.232426315958</v>
      </c>
      <c r="G41" s="123">
        <f t="shared" ref="G41:K41" si="37">(G47+G48)/G48</f>
        <v>1596.6626908915314</v>
      </c>
      <c r="H41" s="123">
        <f t="shared" si="37"/>
        <v>847.71843580340715</v>
      </c>
      <c r="I41" s="123">
        <f t="shared" si="37"/>
        <v>68.294687195055843</v>
      </c>
      <c r="J41" s="123">
        <f t="shared" si="37"/>
        <v>-57.451004548900677</v>
      </c>
      <c r="K41" s="123">
        <f t="shared" si="37"/>
        <v>-36.49356863232461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524385.24</v>
      </c>
      <c r="G43" s="76">
        <f t="shared" ref="G43:K43" si="38">G129+G130</f>
        <v>381032.89</v>
      </c>
      <c r="H43" s="76">
        <f t="shared" si="38"/>
        <v>522509.47</v>
      </c>
      <c r="I43" s="76">
        <f t="shared" si="38"/>
        <v>556112.21</v>
      </c>
      <c r="J43" s="76">
        <f t="shared" si="38"/>
        <v>182400.72</v>
      </c>
      <c r="K43" s="76">
        <f t="shared" si="38"/>
        <v>197897.32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17991878.43</v>
      </c>
      <c r="G44" s="76">
        <f t="shared" ref="G44:K44" si="39">G120</f>
        <v>15762651.6</v>
      </c>
      <c r="H44" s="76">
        <f t="shared" si="39"/>
        <v>15117068.880000001</v>
      </c>
      <c r="I44" s="76">
        <f t="shared" si="39"/>
        <v>14717186.710000001</v>
      </c>
      <c r="J44" s="76">
        <f t="shared" si="39"/>
        <v>10670191</v>
      </c>
      <c r="K44" s="76">
        <f t="shared" si="39"/>
        <v>5265608.8499999996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7965518.1600000001</v>
      </c>
      <c r="G45" s="76">
        <f t="shared" ref="G45:K45" si="40">G122</f>
        <v>5576862.1600000001</v>
      </c>
      <c r="H45" s="76">
        <f t="shared" si="40"/>
        <v>4255704.97</v>
      </c>
      <c r="I45" s="76">
        <f t="shared" si="40"/>
        <v>3486825.36</v>
      </c>
      <c r="J45" s="76">
        <f t="shared" si="40"/>
        <v>3424808.47</v>
      </c>
      <c r="K45" s="76">
        <f t="shared" si="40"/>
        <v>3913920.47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2389918</v>
      </c>
      <c r="G47" s="76">
        <f t="shared" ref="G47:K47" si="42">G102</f>
        <v>1321767.19</v>
      </c>
      <c r="H47" s="76">
        <f t="shared" si="42"/>
        <v>768879.61</v>
      </c>
      <c r="I47" s="76">
        <f t="shared" si="42"/>
        <v>62065.89</v>
      </c>
      <c r="J47" s="76">
        <f t="shared" si="42"/>
        <v>-197368</v>
      </c>
      <c r="K47" s="76">
        <f t="shared" si="42"/>
        <v>-120676.8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936.77</v>
      </c>
      <c r="G48" s="76">
        <f t="shared" ref="G48:K48" si="43">G101</f>
        <v>828.35</v>
      </c>
      <c r="H48" s="76">
        <f t="shared" si="43"/>
        <v>908.07</v>
      </c>
      <c r="I48" s="76">
        <f t="shared" si="43"/>
        <v>922.3</v>
      </c>
      <c r="J48" s="76">
        <f t="shared" si="43"/>
        <v>3376.64</v>
      </c>
      <c r="K48" s="76">
        <f t="shared" si="43"/>
        <v>3218.6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-34.907953470985333</v>
      </c>
      <c r="B52" s="139">
        <f t="shared" ref="B52:B63" si="45">MAX(F52:K52)</f>
        <v>6.3786576589374802</v>
      </c>
      <c r="C52" s="160">
        <f t="shared" ref="C52:C63" si="46">AVERAGE(F52:K52)</f>
        <v>-5.1143291294094393</v>
      </c>
      <c r="D52" s="160">
        <f t="shared" ref="D52:D63" si="47">MEDIAN(F52:K52)</f>
        <v>0.9134844998763163</v>
      </c>
      <c r="E52" s="50" t="s">
        <v>350</v>
      </c>
      <c r="F52" s="119">
        <f t="shared" ref="F52:K52" si="48">(F65/(F70+F71))*100%</f>
        <v>6.3786576589374802</v>
      </c>
      <c r="G52" s="119">
        <f t="shared" si="48"/>
        <v>3.5012817047646476</v>
      </c>
      <c r="H52" s="119">
        <f t="shared" si="48"/>
        <v>1.2452863184408411</v>
      </c>
      <c r="I52" s="119">
        <f t="shared" si="48"/>
        <v>0.58168268131179157</v>
      </c>
      <c r="J52" s="119">
        <f t="shared" si="48"/>
        <v>-34.907953470985333</v>
      </c>
      <c r="K52" s="120">
        <f t="shared" si="48"/>
        <v>-7.4849296689260632</v>
      </c>
    </row>
    <row r="53" spans="1:11" s="43" customFormat="1" ht="13.2" x14ac:dyDescent="0.25">
      <c r="A53" s="139">
        <f t="shared" si="44"/>
        <v>0.95587881355932214</v>
      </c>
      <c r="B53" s="139">
        <f t="shared" si="45"/>
        <v>0.97484999999999999</v>
      </c>
      <c r="C53" s="160">
        <f t="shared" si="46"/>
        <v>0.9671043223933774</v>
      </c>
      <c r="D53" s="160">
        <f t="shared" si="47"/>
        <v>0.96782781236975213</v>
      </c>
      <c r="E53" s="50" t="s">
        <v>351</v>
      </c>
      <c r="F53" s="119">
        <f>(F66/F70)*100%</f>
        <v>0.97331395807283749</v>
      </c>
      <c r="G53" s="119">
        <f t="shared" ref="G53:K53" si="49">(G66/G70)*100%</f>
        <v>0.97404982939477136</v>
      </c>
      <c r="H53" s="119">
        <f t="shared" si="49"/>
        <v>0.97484999999999999</v>
      </c>
      <c r="I53" s="119">
        <f t="shared" si="49"/>
        <v>0.95587881355932214</v>
      </c>
      <c r="J53" s="119">
        <f t="shared" si="49"/>
        <v>0.96219166666666667</v>
      </c>
      <c r="K53" s="120">
        <f t="shared" si="49"/>
        <v>0.96234166666666665</v>
      </c>
    </row>
    <row r="54" spans="1:11" s="43" customFormat="1" ht="13.2" x14ac:dyDescent="0.25">
      <c r="A54" s="139">
        <f t="shared" si="44"/>
        <v>-4.8619682452175184E-2</v>
      </c>
      <c r="B54" s="139">
        <f t="shared" si="45"/>
        <v>0.15630429042703819</v>
      </c>
      <c r="C54" s="160">
        <f t="shared" si="46"/>
        <v>3.5715456928757446E-2</v>
      </c>
      <c r="D54" s="160">
        <f t="shared" si="47"/>
        <v>2.8661637756877051E-2</v>
      </c>
      <c r="E54" s="50" t="s">
        <v>342</v>
      </c>
      <c r="F54" s="119">
        <f>(F67/SUM(F72:F74))*100%</f>
        <v>0.15630429042703819</v>
      </c>
      <c r="G54" s="119">
        <f t="shared" ref="G54:K54" si="50">(G67/SUM(G72:G74))*100%</f>
        <v>9.0958410044724908E-2</v>
      </c>
      <c r="H54" s="119">
        <f t="shared" si="50"/>
        <v>4.4203108976220477E-2</v>
      </c>
      <c r="I54" s="119">
        <f t="shared" si="50"/>
        <v>1.312016653753363E-2</v>
      </c>
      <c r="J54" s="119">
        <f t="shared" si="50"/>
        <v>-4.8619682452175184E-2</v>
      </c>
      <c r="K54" s="120">
        <f t="shared" si="50"/>
        <v>-4.1673551960797313E-2</v>
      </c>
    </row>
    <row r="55" spans="1:11" s="43" customFormat="1" ht="13.2" x14ac:dyDescent="0.25">
      <c r="A55" s="139">
        <f t="shared" si="44"/>
        <v>9.5349939346234258E-2</v>
      </c>
      <c r="B55" s="139">
        <f t="shared" si="45"/>
        <v>0.26235852235429058</v>
      </c>
      <c r="C55" s="160">
        <f t="shared" si="46"/>
        <v>0.14736676739425392</v>
      </c>
      <c r="D55" s="160">
        <f t="shared" si="47"/>
        <v>0.12895265725638852</v>
      </c>
      <c r="E55" s="50" t="s">
        <v>343</v>
      </c>
      <c r="F55" s="119">
        <f>((F72-F76)/F76)*100%</f>
        <v>0.26235852235429058</v>
      </c>
      <c r="G55" s="119">
        <f t="shared" ref="G55:K56" si="51">((G72-G76)/G76)*100%</f>
        <v>0.16391145068611632</v>
      </c>
      <c r="H55" s="119">
        <f t="shared" si="51"/>
        <v>0.10467537746610535</v>
      </c>
      <c r="I55" s="119">
        <f t="shared" si="51"/>
        <v>0.11695695041223024</v>
      </c>
      <c r="J55" s="119">
        <f t="shared" si="51"/>
        <v>9.5349939346234258E-2</v>
      </c>
      <c r="K55" s="120">
        <f t="shared" si="51"/>
        <v>0.14094836410054681</v>
      </c>
    </row>
    <row r="56" spans="1:11" s="43" customFormat="1" ht="13.2" x14ac:dyDescent="0.25">
      <c r="A56" s="139">
        <f t="shared" si="44"/>
        <v>-0.65940639371326415</v>
      </c>
      <c r="B56" s="139">
        <f t="shared" si="45"/>
        <v>-0.18310462096578131</v>
      </c>
      <c r="C56" s="160">
        <f t="shared" si="46"/>
        <v>-0.42945095132420691</v>
      </c>
      <c r="D56" s="160">
        <f t="shared" si="47"/>
        <v>-0.42687187531465798</v>
      </c>
      <c r="E56" s="50" t="s">
        <v>344</v>
      </c>
      <c r="F56" s="119">
        <f>((F73-F77)/F77)*100%</f>
        <v>-0.18310462096578131</v>
      </c>
      <c r="G56" s="119">
        <f t="shared" si="51"/>
        <v>-0.2398149016377939</v>
      </c>
      <c r="H56" s="119">
        <f t="shared" si="51"/>
        <v>-0.28550333392489696</v>
      </c>
      <c r="I56" s="119">
        <f t="shared" si="51"/>
        <v>-0.56824041670441905</v>
      </c>
      <c r="J56" s="119">
        <f t="shared" si="51"/>
        <v>-0.64063604099908578</v>
      </c>
      <c r="K56" s="120">
        <f t="shared" si="51"/>
        <v>-0.65940639371326415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-4.9405110953321216E-2</v>
      </c>
      <c r="B58" s="139">
        <f t="shared" si="45"/>
        <v>0.18217749445442588</v>
      </c>
      <c r="C58" s="155">
        <f t="shared" si="46"/>
        <v>4.9964223308515875E-2</v>
      </c>
      <c r="D58" s="156">
        <f t="shared" si="47"/>
        <v>4.2751094786433297E-2</v>
      </c>
      <c r="E58" s="50" t="s">
        <v>356</v>
      </c>
      <c r="F58" s="71">
        <f>F68/(F70+F71+F72+F73+F74+F75)</f>
        <v>0.18217749445442588</v>
      </c>
      <c r="G58" s="71">
        <f t="shared" ref="G58:K58" si="52">G68/(G70+G71+G72+G73+G74)</f>
        <v>0.11650509488069158</v>
      </c>
      <c r="H58" s="71">
        <f t="shared" si="52"/>
        <v>7.6585318566863361E-2</v>
      </c>
      <c r="I58" s="71">
        <f t="shared" si="52"/>
        <v>8.9168710060032238E-3</v>
      </c>
      <c r="J58" s="71">
        <f t="shared" si="52"/>
        <v>-4.9405110953321216E-2</v>
      </c>
      <c r="K58" s="72">
        <f t="shared" si="52"/>
        <v>-3.4994328103567611E-2</v>
      </c>
    </row>
    <row r="59" spans="1:11" s="43" customFormat="1" ht="13.2" x14ac:dyDescent="0.25">
      <c r="A59" s="139">
        <f t="shared" si="44"/>
        <v>-5.0105478430885912E-2</v>
      </c>
      <c r="B59" s="139">
        <f t="shared" si="45"/>
        <v>0.18208129533880707</v>
      </c>
      <c r="C59" s="155">
        <f t="shared" si="46"/>
        <v>4.9783626068629905E-2</v>
      </c>
      <c r="D59" s="156">
        <f t="shared" si="47"/>
        <v>4.2746172859406455E-2</v>
      </c>
      <c r="E59" s="50" t="s">
        <v>361</v>
      </c>
      <c r="F59" s="71">
        <f>F69/(F70+F71+F72+F73+F74+F75)</f>
        <v>0.18208129533880707</v>
      </c>
      <c r="G59" s="71">
        <f t="shared" ref="G59:K59" si="53">G69/(G70+G71+G72+G73+G74+G75)</f>
        <v>0.11615716172668664</v>
      </c>
      <c r="H59" s="71">
        <f t="shared" si="53"/>
        <v>7.6584848966255253E-2</v>
      </c>
      <c r="I59" s="71">
        <f t="shared" si="53"/>
        <v>8.9074967525576542E-3</v>
      </c>
      <c r="J59" s="71">
        <f t="shared" si="53"/>
        <v>-5.0105478430885912E-2</v>
      </c>
      <c r="K59" s="72">
        <f t="shared" si="53"/>
        <v>-3.4923567941641254E-2</v>
      </c>
    </row>
    <row r="60" spans="1:11" s="43" customFormat="1" ht="26.4" x14ac:dyDescent="0.25">
      <c r="A60" s="139">
        <f t="shared" si="44"/>
        <v>-2.6486764203915377E-2</v>
      </c>
      <c r="B60" s="139">
        <f t="shared" si="45"/>
        <v>0.1106810763393981</v>
      </c>
      <c r="C60" s="160">
        <f t="shared" si="46"/>
        <v>2.7751703406098911E-2</v>
      </c>
      <c r="D60" s="160">
        <f t="shared" si="47"/>
        <v>1.80706402449805E-2</v>
      </c>
      <c r="E60" s="50" t="s">
        <v>372</v>
      </c>
      <c r="F60" s="119">
        <f>F65/F79*100%</f>
        <v>0.1106810763393981</v>
      </c>
      <c r="G60" s="119">
        <f t="shared" ref="G60:K60" si="54">G65/G79*100%</f>
        <v>6.4028205127619517E-2</v>
      </c>
      <c r="H60" s="119">
        <f t="shared" si="54"/>
        <v>2.8573959901147184E-2</v>
      </c>
      <c r="I60" s="119">
        <f t="shared" si="54"/>
        <v>7.5673205888138109E-3</v>
      </c>
      <c r="J60" s="119">
        <f t="shared" si="54"/>
        <v>-1.785357731646978E-2</v>
      </c>
      <c r="K60" s="120">
        <f t="shared" si="54"/>
        <v>-2.6486764203915377E-2</v>
      </c>
    </row>
    <row r="61" spans="1:11" s="43" customFormat="1" ht="13.2" x14ac:dyDescent="0.25">
      <c r="A61" s="139">
        <f t="shared" si="44"/>
        <v>-2.2917919548847615E-2</v>
      </c>
      <c r="B61" s="139">
        <f t="shared" si="45"/>
        <v>0.1327630135615584</v>
      </c>
      <c r="C61" s="155">
        <f t="shared" si="46"/>
        <v>3.8324297601238198E-2</v>
      </c>
      <c r="D61" s="156">
        <f t="shared" si="47"/>
        <v>2.7537797631458048E-2</v>
      </c>
      <c r="E61" s="50" t="s">
        <v>373</v>
      </c>
      <c r="F61" s="71">
        <f>F69/F79</f>
        <v>0.1327630135615584</v>
      </c>
      <c r="G61" s="71">
        <f t="shared" ref="G61:K61" si="55">G69/G79</f>
        <v>8.3815669059132153E-2</v>
      </c>
      <c r="H61" s="71">
        <f t="shared" si="55"/>
        <v>5.0861685959322028E-2</v>
      </c>
      <c r="I61" s="71">
        <f t="shared" si="55"/>
        <v>4.2139093035940692E-3</v>
      </c>
      <c r="J61" s="71">
        <f t="shared" si="55"/>
        <v>-1.8790572727329809E-2</v>
      </c>
      <c r="K61" s="72">
        <f t="shared" si="55"/>
        <v>-2.2917919548847615E-2</v>
      </c>
    </row>
    <row r="62" spans="1:11" s="43" customFormat="1" ht="13.2" x14ac:dyDescent="0.25">
      <c r="A62" s="139">
        <f t="shared" si="44"/>
        <v>6.3422044485316809E-4</v>
      </c>
      <c r="B62" s="139">
        <f t="shared" si="45"/>
        <v>0.29987452818763016</v>
      </c>
      <c r="C62" s="155">
        <f t="shared" si="46"/>
        <v>5.1616611944466456E-2</v>
      </c>
      <c r="D62" s="156">
        <f t="shared" si="47"/>
        <v>9.4828362795493465E-4</v>
      </c>
      <c r="E62" s="50" t="s">
        <v>374</v>
      </c>
      <c r="F62" s="71">
        <f>F69/F80</f>
        <v>0.29987452818763016</v>
      </c>
      <c r="G62" s="71">
        <f>G66/G80</f>
        <v>6.3422044485316809E-4</v>
      </c>
      <c r="H62" s="71">
        <f>H66/H80</f>
        <v>8.2464833082637311E-4</v>
      </c>
      <c r="I62" s="71">
        <f>I66/I80</f>
        <v>6.4697074475791932E-3</v>
      </c>
      <c r="J62" s="71">
        <f>J66/J80</f>
        <v>1.0114113038268676E-3</v>
      </c>
      <c r="K62" s="72">
        <f>K66/K80</f>
        <v>8.8515595208300173E-4</v>
      </c>
    </row>
    <row r="63" spans="1:11" s="43" customFormat="1" ht="13.8" thickBot="1" x14ac:dyDescent="0.3">
      <c r="A63" s="139">
        <f t="shared" si="44"/>
        <v>-5.5623863836099414E-2</v>
      </c>
      <c r="B63" s="139">
        <f t="shared" si="45"/>
        <v>0.24999760593101203</v>
      </c>
      <c r="C63" s="155">
        <f t="shared" si="46"/>
        <v>7.8858603515927314E-2</v>
      </c>
      <c r="D63" s="156">
        <f t="shared" si="47"/>
        <v>6.6720121806563976E-2</v>
      </c>
      <c r="E63" s="51" t="s">
        <v>302</v>
      </c>
      <c r="F63" s="73">
        <f t="shared" ref="F63:K63" si="56">F65/(F80+F81)</f>
        <v>0.24999760593101203</v>
      </c>
      <c r="G63" s="73">
        <f t="shared" si="56"/>
        <v>0.18097171151886601</v>
      </c>
      <c r="H63" s="73">
        <f t="shared" si="56"/>
        <v>0.10150010939315655</v>
      </c>
      <c r="I63" s="73">
        <f t="shared" si="56"/>
        <v>3.1940134219971376E-2</v>
      </c>
      <c r="J63" s="73">
        <f t="shared" si="56"/>
        <v>-5.5623863836099414E-2</v>
      </c>
      <c r="K63" s="74">
        <f t="shared" si="56"/>
        <v>-3.5634076131342542E-2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1991360.47</v>
      </c>
      <c r="G65" s="76">
        <f t="shared" ref="G65:K65" si="57">G97</f>
        <v>1009254.29</v>
      </c>
      <c r="H65" s="76">
        <f t="shared" si="57"/>
        <v>431954.52</v>
      </c>
      <c r="I65" s="76">
        <f t="shared" si="57"/>
        <v>111369.67</v>
      </c>
      <c r="J65" s="76">
        <f t="shared" si="57"/>
        <v>-190501.08</v>
      </c>
      <c r="K65" s="76">
        <f t="shared" si="57"/>
        <v>-139468.94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4320.2</v>
      </c>
      <c r="G66" s="76">
        <f t="shared" ref="G66:K66" si="58">G95</f>
        <v>3536.96</v>
      </c>
      <c r="H66" s="76">
        <f t="shared" si="58"/>
        <v>3509.46</v>
      </c>
      <c r="I66" s="76">
        <f t="shared" si="58"/>
        <v>22558.74</v>
      </c>
      <c r="J66" s="76">
        <f t="shared" si="58"/>
        <v>3463.89</v>
      </c>
      <c r="K66" s="76">
        <f t="shared" si="58"/>
        <v>3464.43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1987040.27</v>
      </c>
      <c r="G67" s="76">
        <f t="shared" ref="G67:K67" si="59">G92</f>
        <v>1005717.33</v>
      </c>
      <c r="H67" s="76">
        <f t="shared" si="59"/>
        <v>428445.06</v>
      </c>
      <c r="I67" s="76">
        <f t="shared" si="59"/>
        <v>88810.93</v>
      </c>
      <c r="J67" s="76">
        <f t="shared" si="59"/>
        <v>-193964.97</v>
      </c>
      <c r="K67" s="76">
        <f t="shared" si="59"/>
        <v>-142933.37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2389918</v>
      </c>
      <c r="G68" s="76">
        <f t="shared" ref="G68:K68" si="60">G102</f>
        <v>1321767.19</v>
      </c>
      <c r="H68" s="76">
        <f t="shared" si="60"/>
        <v>768879.61</v>
      </c>
      <c r="I68" s="76">
        <f t="shared" si="60"/>
        <v>62065.89</v>
      </c>
      <c r="J68" s="76">
        <f t="shared" si="60"/>
        <v>-197368</v>
      </c>
      <c r="K68" s="76">
        <f t="shared" si="60"/>
        <v>-120676.8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2388656</v>
      </c>
      <c r="G69" s="76">
        <f t="shared" ref="G69:K69" si="61">G104</f>
        <v>1321157.19</v>
      </c>
      <c r="H69" s="76">
        <f t="shared" si="61"/>
        <v>768879.61</v>
      </c>
      <c r="I69" s="76">
        <f t="shared" si="61"/>
        <v>62016.89</v>
      </c>
      <c r="J69" s="76">
        <f t="shared" si="61"/>
        <v>-200499</v>
      </c>
      <c r="K69" s="76">
        <f t="shared" si="61"/>
        <v>-120676.8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4438.6499999999996</v>
      </c>
      <c r="G70" s="76">
        <f t="shared" ref="G70:K70" si="62">G93</f>
        <v>3631.19</v>
      </c>
      <c r="H70" s="76">
        <f t="shared" si="62"/>
        <v>3600</v>
      </c>
      <c r="I70" s="76">
        <f t="shared" si="62"/>
        <v>23600</v>
      </c>
      <c r="J70" s="76">
        <f t="shared" si="62"/>
        <v>3600</v>
      </c>
      <c r="K70" s="76">
        <f t="shared" si="62"/>
        <v>3600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307752.5</v>
      </c>
      <c r="G71" s="76">
        <f t="shared" ref="G71:K71" si="63">G98</f>
        <v>284621.62</v>
      </c>
      <c r="H71" s="76">
        <f t="shared" si="63"/>
        <v>343271.65</v>
      </c>
      <c r="I71" s="76">
        <f t="shared" si="63"/>
        <v>167861.21</v>
      </c>
      <c r="J71" s="76">
        <f t="shared" si="63"/>
        <v>1857.24</v>
      </c>
      <c r="K71" s="76">
        <f t="shared" si="63"/>
        <v>15033.3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11196239.27</v>
      </c>
      <c r="G72" s="76">
        <f t="shared" ref="G72:K74" si="64">G85</f>
        <v>9848460.6699999999</v>
      </c>
      <c r="H72" s="76">
        <f t="shared" si="64"/>
        <v>8701435.7300000004</v>
      </c>
      <c r="I72" s="76">
        <f t="shared" si="64"/>
        <v>6332686.0800000001</v>
      </c>
      <c r="J72" s="76">
        <f t="shared" si="64"/>
        <v>3699958.09</v>
      </c>
      <c r="K72" s="76">
        <f t="shared" si="64"/>
        <v>3154710.03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1516401.34</v>
      </c>
      <c r="G73" s="76">
        <f t="shared" si="64"/>
        <v>1208431.48</v>
      </c>
      <c r="H73" s="76">
        <f t="shared" si="64"/>
        <v>991209.65</v>
      </c>
      <c r="I73" s="76">
        <f t="shared" si="64"/>
        <v>436353.76</v>
      </c>
      <c r="J73" s="76">
        <f t="shared" si="64"/>
        <v>289475</v>
      </c>
      <c r="K73" s="76">
        <f t="shared" si="64"/>
        <v>275124.08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93791.96</v>
      </c>
      <c r="G75" s="76">
        <f t="shared" ref="G75:K75" si="65">G100</f>
        <v>28731.35</v>
      </c>
      <c r="H75" s="76">
        <f t="shared" si="65"/>
        <v>61.56</v>
      </c>
      <c r="I75" s="76">
        <f t="shared" si="65"/>
        <v>1824.25</v>
      </c>
      <c r="J75" s="76">
        <f t="shared" si="65"/>
        <v>6648.15</v>
      </c>
      <c r="K75" s="76">
        <f t="shared" si="65"/>
        <v>6987.09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8869302.2400000002</v>
      </c>
      <c r="G76" s="76">
        <f t="shared" ref="G76:K78" si="66">G89</f>
        <v>8461520.5600000005</v>
      </c>
      <c r="H76" s="76">
        <f t="shared" si="66"/>
        <v>7876916.5199999996</v>
      </c>
      <c r="I76" s="76">
        <f t="shared" si="66"/>
        <v>5669588.3200000003</v>
      </c>
      <c r="J76" s="76">
        <f t="shared" si="66"/>
        <v>3377877.66</v>
      </c>
      <c r="K76" s="76">
        <f t="shared" si="66"/>
        <v>2764989.31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1856298.1</v>
      </c>
      <c r="G77" s="76">
        <f t="shared" si="66"/>
        <v>1589654.26</v>
      </c>
      <c r="H77" s="76">
        <f t="shared" si="66"/>
        <v>1387283.8</v>
      </c>
      <c r="I77" s="76">
        <f t="shared" si="66"/>
        <v>1010640.59</v>
      </c>
      <c r="J77" s="76">
        <f t="shared" si="66"/>
        <v>805520.4</v>
      </c>
      <c r="K77" s="76">
        <f t="shared" si="66"/>
        <v>807778.17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17991878.43</v>
      </c>
      <c r="G79" s="76">
        <f t="shared" ref="G79:K79" si="67">G120</f>
        <v>15762651.6</v>
      </c>
      <c r="H79" s="76">
        <f t="shared" si="67"/>
        <v>15117068.880000001</v>
      </c>
      <c r="I79" s="76">
        <f t="shared" si="67"/>
        <v>14717186.710000001</v>
      </c>
      <c r="J79" s="76">
        <f t="shared" si="67"/>
        <v>10670191</v>
      </c>
      <c r="K79" s="76">
        <f t="shared" si="67"/>
        <v>5265608.8499999996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7965518.1600000001</v>
      </c>
      <c r="G80" s="76">
        <f t="shared" ref="G80:K80" si="68">G122</f>
        <v>5576862.1600000001</v>
      </c>
      <c r="H80" s="76">
        <f t="shared" si="68"/>
        <v>4255704.97</v>
      </c>
      <c r="I80" s="76">
        <f t="shared" si="68"/>
        <v>3486825.36</v>
      </c>
      <c r="J80" s="76">
        <f t="shared" si="68"/>
        <v>3424808.47</v>
      </c>
      <c r="K80" s="76">
        <f t="shared" si="68"/>
        <v>3913920.47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12712640.609999999</v>
      </c>
      <c r="G84" s="90">
        <v>11056892.15</v>
      </c>
      <c r="H84" s="90">
        <v>9692645.3800000008</v>
      </c>
      <c r="I84" s="90">
        <v>6769039.8399999999</v>
      </c>
      <c r="J84" s="90">
        <v>3989433.09</v>
      </c>
      <c r="K84" s="90">
        <v>3429834.11</v>
      </c>
    </row>
    <row r="85" spans="3:11" x14ac:dyDescent="0.3">
      <c r="E85" s="11" t="s">
        <v>3</v>
      </c>
      <c r="F85" s="90">
        <v>11196239.27</v>
      </c>
      <c r="G85" s="90">
        <v>9848460.6699999999</v>
      </c>
      <c r="H85" s="90">
        <v>8701435.7300000004</v>
      </c>
      <c r="I85" s="90">
        <v>6332686.0800000001</v>
      </c>
      <c r="J85" s="90">
        <v>3699958.09</v>
      </c>
      <c r="K85" s="90">
        <v>3154710.03</v>
      </c>
    </row>
    <row r="86" spans="3:11" x14ac:dyDescent="0.3">
      <c r="E86" s="11" t="s">
        <v>4</v>
      </c>
      <c r="F86" s="90">
        <v>1516401.34</v>
      </c>
      <c r="G86" s="90">
        <v>1208431.48</v>
      </c>
      <c r="H86" s="90">
        <v>991209.65</v>
      </c>
      <c r="I86" s="90">
        <v>436353.76</v>
      </c>
      <c r="J86" s="90">
        <v>289475</v>
      </c>
      <c r="K86" s="90">
        <v>275124.08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10725600.34</v>
      </c>
      <c r="G88" s="90">
        <v>10051174.82</v>
      </c>
      <c r="H88" s="90">
        <v>9264200.3200000003</v>
      </c>
      <c r="I88" s="90">
        <v>6680228.9100000001</v>
      </c>
      <c r="J88" s="90">
        <v>4183398.06</v>
      </c>
      <c r="K88" s="90">
        <v>3572767.48</v>
      </c>
    </row>
    <row r="89" spans="3:11" x14ac:dyDescent="0.3">
      <c r="E89" s="11" t="s">
        <v>7</v>
      </c>
      <c r="F89" s="90">
        <v>8869302.2400000002</v>
      </c>
      <c r="G89" s="90">
        <v>8461520.5600000005</v>
      </c>
      <c r="H89" s="90">
        <v>7876916.5199999996</v>
      </c>
      <c r="I89" s="90">
        <v>5669588.3200000003</v>
      </c>
      <c r="J89" s="90">
        <v>3377877.66</v>
      </c>
      <c r="K89" s="90">
        <v>2764989.31</v>
      </c>
    </row>
    <row r="90" spans="3:11" x14ac:dyDescent="0.3">
      <c r="E90" s="11" t="s">
        <v>8</v>
      </c>
      <c r="F90" s="90">
        <v>1856298.1</v>
      </c>
      <c r="G90" s="90">
        <v>1589654.26</v>
      </c>
      <c r="H90" s="90">
        <v>1387283.8</v>
      </c>
      <c r="I90" s="90">
        <v>1010640.59</v>
      </c>
      <c r="J90" s="90">
        <v>805520.4</v>
      </c>
      <c r="K90" s="90">
        <v>807778.17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1987040.27</v>
      </c>
      <c r="G92" s="90">
        <v>1005717.33</v>
      </c>
      <c r="H92" s="90">
        <v>428445.06</v>
      </c>
      <c r="I92" s="90">
        <v>88810.93</v>
      </c>
      <c r="J92" s="90">
        <v>-193964.97</v>
      </c>
      <c r="K92" s="90">
        <v>-142933.37</v>
      </c>
    </row>
    <row r="93" spans="3:11" x14ac:dyDescent="0.3">
      <c r="E93" s="11" t="s">
        <v>11</v>
      </c>
      <c r="F93" s="90">
        <v>4438.6499999999996</v>
      </c>
      <c r="G93" s="90">
        <v>3631.19</v>
      </c>
      <c r="H93" s="90">
        <v>3600</v>
      </c>
      <c r="I93" s="90">
        <v>23600</v>
      </c>
      <c r="J93" s="90">
        <v>3600</v>
      </c>
      <c r="K93" s="90">
        <v>3600</v>
      </c>
    </row>
    <row r="94" spans="3:11" x14ac:dyDescent="0.3">
      <c r="E94" s="11" t="s">
        <v>12</v>
      </c>
      <c r="F94" s="107">
        <v>118.45</v>
      </c>
      <c r="G94" s="107">
        <v>94.23</v>
      </c>
      <c r="H94" s="107">
        <v>90.54</v>
      </c>
      <c r="I94" s="90">
        <v>1041.26</v>
      </c>
      <c r="J94" s="107">
        <v>136.11000000000001</v>
      </c>
      <c r="K94" s="107">
        <v>135.57</v>
      </c>
    </row>
    <row r="95" spans="3:11" x14ac:dyDescent="0.3">
      <c r="E95" s="11" t="s">
        <v>13</v>
      </c>
      <c r="F95" s="90">
        <v>4320.2</v>
      </c>
      <c r="G95" s="90">
        <v>3536.96</v>
      </c>
      <c r="H95" s="90">
        <v>3509.46</v>
      </c>
      <c r="I95" s="90">
        <v>22558.74</v>
      </c>
      <c r="J95" s="90">
        <v>3463.89</v>
      </c>
      <c r="K95" s="90">
        <v>3464.43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1991360.47</v>
      </c>
      <c r="G97" s="90">
        <v>1009254.29</v>
      </c>
      <c r="H97" s="90">
        <v>431954.52</v>
      </c>
      <c r="I97" s="90">
        <v>111369.67</v>
      </c>
      <c r="J97" s="90">
        <v>-190501.08</v>
      </c>
      <c r="K97" s="90">
        <v>-139468.94</v>
      </c>
    </row>
    <row r="98" spans="5:11" x14ac:dyDescent="0.3">
      <c r="E98" s="11" t="s">
        <v>16</v>
      </c>
      <c r="F98" s="90">
        <v>307752.5</v>
      </c>
      <c r="G98" s="90">
        <v>284621.62</v>
      </c>
      <c r="H98" s="90">
        <v>343271.65</v>
      </c>
      <c r="I98" s="90">
        <v>167861.21</v>
      </c>
      <c r="J98" s="90">
        <v>1857.24</v>
      </c>
      <c r="K98" s="90">
        <v>15033.3</v>
      </c>
    </row>
    <row r="99" spans="5:11" x14ac:dyDescent="0.3">
      <c r="E99" s="11" t="s">
        <v>17</v>
      </c>
      <c r="F99" s="90">
        <v>2050.16</v>
      </c>
      <c r="G99" s="107">
        <v>11.72</v>
      </c>
      <c r="H99" s="90">
        <v>5500.05</v>
      </c>
      <c r="I99" s="90">
        <v>218066.94</v>
      </c>
      <c r="J99" s="90">
        <v>11995.67</v>
      </c>
      <c r="K99" s="107">
        <v>9.65</v>
      </c>
    </row>
    <row r="100" spans="5:11" x14ac:dyDescent="0.3">
      <c r="E100" s="11" t="s">
        <v>18</v>
      </c>
      <c r="F100" s="90">
        <v>93791.96</v>
      </c>
      <c r="G100" s="90">
        <v>28731.35</v>
      </c>
      <c r="H100" s="107">
        <v>61.56</v>
      </c>
      <c r="I100" s="90">
        <v>1824.25</v>
      </c>
      <c r="J100" s="90">
        <v>6648.15</v>
      </c>
      <c r="K100" s="90">
        <v>6987.09</v>
      </c>
    </row>
    <row r="101" spans="5:11" x14ac:dyDescent="0.3">
      <c r="E101" s="11" t="s">
        <v>19</v>
      </c>
      <c r="F101" s="107">
        <v>936.77</v>
      </c>
      <c r="G101" s="107">
        <v>828.35</v>
      </c>
      <c r="H101" s="107">
        <v>908.07</v>
      </c>
      <c r="I101" s="107">
        <v>922.3</v>
      </c>
      <c r="J101" s="90">
        <v>3376.64</v>
      </c>
      <c r="K101" s="90">
        <v>3218.6</v>
      </c>
    </row>
    <row r="102" spans="5:11" x14ac:dyDescent="0.3">
      <c r="E102" s="11" t="s">
        <v>20</v>
      </c>
      <c r="F102" s="90">
        <v>2389918</v>
      </c>
      <c r="G102" s="90">
        <v>1321767.19</v>
      </c>
      <c r="H102" s="90">
        <v>768879.61</v>
      </c>
      <c r="I102" s="90">
        <v>62065.89</v>
      </c>
      <c r="J102" s="90">
        <v>-197368</v>
      </c>
      <c r="K102" s="90">
        <v>-120676.8</v>
      </c>
    </row>
    <row r="103" spans="5:11" x14ac:dyDescent="0.3">
      <c r="E103" s="11" t="s">
        <v>21</v>
      </c>
      <c r="F103" s="90">
        <v>1262</v>
      </c>
      <c r="G103" s="107">
        <v>610</v>
      </c>
      <c r="H103" s="107">
        <v>0</v>
      </c>
      <c r="I103" s="107">
        <v>49</v>
      </c>
      <c r="J103" s="90">
        <v>3131</v>
      </c>
      <c r="K103" s="107">
        <v>0</v>
      </c>
    </row>
    <row r="104" spans="5:11" x14ac:dyDescent="0.3">
      <c r="E104" s="11" t="s">
        <v>22</v>
      </c>
      <c r="F104" s="90">
        <v>2388656</v>
      </c>
      <c r="G104" s="90">
        <v>1321157.19</v>
      </c>
      <c r="H104" s="90">
        <v>768879.61</v>
      </c>
      <c r="I104" s="90">
        <v>62016.89</v>
      </c>
      <c r="J104" s="90">
        <v>-200499</v>
      </c>
      <c r="K104" s="90">
        <v>-120676.8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12658552.09</v>
      </c>
      <c r="G108" s="90">
        <v>12674856.15</v>
      </c>
      <c r="H108" s="90">
        <v>12885526.75</v>
      </c>
      <c r="I108" s="90">
        <v>13255169.029999999</v>
      </c>
      <c r="J108" s="90">
        <v>9597034.4800000004</v>
      </c>
      <c r="K108" s="90">
        <v>4067707.41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90">
        <v>1531.81</v>
      </c>
      <c r="I109" s="90">
        <v>3370.09</v>
      </c>
      <c r="J109" s="107">
        <v>0</v>
      </c>
      <c r="K109" s="90">
        <v>4669.16</v>
      </c>
    </row>
    <row r="110" spans="5:11" ht="15" customHeight="1" x14ac:dyDescent="0.3">
      <c r="E110" s="8" t="s">
        <v>29</v>
      </c>
      <c r="F110" s="90">
        <v>12658033.439999999</v>
      </c>
      <c r="G110" s="90">
        <v>12673936.369999999</v>
      </c>
      <c r="H110" s="90">
        <v>12881912.84</v>
      </c>
      <c r="I110" s="90">
        <v>13251798.939999999</v>
      </c>
      <c r="J110" s="90">
        <v>9597034.4800000004</v>
      </c>
      <c r="K110" s="90">
        <v>4063038.25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518.65</v>
      </c>
      <c r="G113" s="107">
        <v>919.78</v>
      </c>
      <c r="H113" s="90">
        <v>2082.1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5333326.34</v>
      </c>
      <c r="G114" s="90">
        <v>3087795.45</v>
      </c>
      <c r="H114" s="90">
        <v>2231542.13</v>
      </c>
      <c r="I114" s="90">
        <v>1462017.68</v>
      </c>
      <c r="J114" s="90">
        <v>1073156.52</v>
      </c>
      <c r="K114" s="90">
        <v>1197901.44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1424612.27</v>
      </c>
      <c r="G116" s="90">
        <v>1051991.78</v>
      </c>
      <c r="H116" s="90">
        <v>911743.44</v>
      </c>
      <c r="I116" s="90">
        <v>509923.04</v>
      </c>
      <c r="J116" s="90">
        <v>226044.51</v>
      </c>
      <c r="K116" s="107">
        <v>0</v>
      </c>
    </row>
    <row r="117" spans="5:11" ht="15" customHeight="1" x14ac:dyDescent="0.3">
      <c r="E117" s="8" t="s">
        <v>36</v>
      </c>
      <c r="F117" s="90">
        <v>3879323.71</v>
      </c>
      <c r="G117" s="90">
        <v>2019355.12</v>
      </c>
      <c r="H117" s="90">
        <v>1307812.45</v>
      </c>
      <c r="I117" s="90">
        <v>938870.55</v>
      </c>
      <c r="J117" s="90">
        <v>837796.5</v>
      </c>
      <c r="K117" s="90">
        <v>889105.89</v>
      </c>
    </row>
    <row r="118" spans="5:11" ht="15" customHeight="1" x14ac:dyDescent="0.3">
      <c r="E118" s="8" t="s">
        <v>37</v>
      </c>
      <c r="F118" s="90">
        <v>29390.36</v>
      </c>
      <c r="G118" s="90">
        <v>16448.55</v>
      </c>
      <c r="H118" s="90">
        <v>11986.24</v>
      </c>
      <c r="I118" s="90">
        <v>13224.09</v>
      </c>
      <c r="J118" s="90">
        <v>9315.51</v>
      </c>
      <c r="K118" s="90">
        <v>308795.55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17991878.43</v>
      </c>
      <c r="G120" s="90">
        <v>15762651.6</v>
      </c>
      <c r="H120" s="90">
        <v>15117068.880000001</v>
      </c>
      <c r="I120" s="90">
        <v>14717186.710000001</v>
      </c>
      <c r="J120" s="90">
        <v>10670191</v>
      </c>
      <c r="K120" s="90">
        <v>5265608.8499999996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7965518.1600000001</v>
      </c>
      <c r="G122" s="90">
        <v>5576862.1600000001</v>
      </c>
      <c r="H122" s="90">
        <v>4255704.97</v>
      </c>
      <c r="I122" s="90">
        <v>3486825.36</v>
      </c>
      <c r="J122" s="90">
        <v>3424808.47</v>
      </c>
      <c r="K122" s="90">
        <v>3913920.47</v>
      </c>
    </row>
    <row r="123" spans="5:11" x14ac:dyDescent="0.3">
      <c r="E123" s="8" t="s">
        <v>42</v>
      </c>
      <c r="F123" s="90">
        <v>1000</v>
      </c>
      <c r="G123" s="90">
        <v>1000</v>
      </c>
      <c r="H123" s="90">
        <v>1000</v>
      </c>
      <c r="I123" s="90">
        <v>1000</v>
      </c>
      <c r="J123" s="90">
        <v>1000</v>
      </c>
      <c r="K123" s="90">
        <v>1000</v>
      </c>
    </row>
    <row r="124" spans="5:11" x14ac:dyDescent="0.3">
      <c r="E124" s="8" t="s">
        <v>43</v>
      </c>
      <c r="F124" s="90">
        <v>5575862.1600000001</v>
      </c>
      <c r="G124" s="90">
        <v>4254704.97</v>
      </c>
      <c r="H124" s="90">
        <v>3485825.36</v>
      </c>
      <c r="I124" s="90">
        <v>3423808.47</v>
      </c>
      <c r="J124" s="90">
        <v>3624307.47</v>
      </c>
      <c r="K124" s="90">
        <v>4033597.27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2388656</v>
      </c>
      <c r="G126" s="90">
        <v>1321157.19</v>
      </c>
      <c r="H126" s="90">
        <v>768879.61</v>
      </c>
      <c r="I126" s="90">
        <v>62016.89</v>
      </c>
      <c r="J126" s="90">
        <v>-200499</v>
      </c>
      <c r="K126" s="90">
        <v>-120676.8</v>
      </c>
    </row>
    <row r="127" spans="5:11" ht="15" customHeight="1" x14ac:dyDescent="0.3">
      <c r="E127" s="18" t="s">
        <v>91</v>
      </c>
      <c r="F127" s="90">
        <v>10026360.27</v>
      </c>
      <c r="G127" s="90">
        <v>10185789.439999999</v>
      </c>
      <c r="H127" s="90">
        <v>10861363.91</v>
      </c>
      <c r="I127" s="90">
        <v>11230361.35</v>
      </c>
      <c r="J127" s="90">
        <v>7245382.5300000003</v>
      </c>
      <c r="K127" s="90">
        <v>1351688.38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524385.24</v>
      </c>
      <c r="G130" s="90">
        <v>381032.89</v>
      </c>
      <c r="H130" s="90">
        <v>522509.47</v>
      </c>
      <c r="I130" s="90">
        <v>556112.21</v>
      </c>
      <c r="J130" s="90">
        <v>182400.72</v>
      </c>
      <c r="K130" s="90">
        <v>197897.32</v>
      </c>
    </row>
    <row r="131" spans="5:11" ht="15" customHeight="1" x14ac:dyDescent="0.3">
      <c r="E131" s="17" t="s">
        <v>88</v>
      </c>
      <c r="F131" s="90">
        <v>9501975.0299999993</v>
      </c>
      <c r="G131" s="90">
        <v>9804756.5500000007</v>
      </c>
      <c r="H131" s="90">
        <v>10338854.439999999</v>
      </c>
      <c r="I131" s="90">
        <v>10674249.140000001</v>
      </c>
      <c r="J131" s="90">
        <v>7062981.8099999996</v>
      </c>
      <c r="K131" s="90">
        <v>1153791.06</v>
      </c>
    </row>
    <row r="132" spans="5:11" x14ac:dyDescent="0.3">
      <c r="E132" s="7" t="s">
        <v>47</v>
      </c>
      <c r="F132" s="90">
        <v>17991878.43</v>
      </c>
      <c r="G132" s="90">
        <v>15762651.6</v>
      </c>
      <c r="H132" s="90">
        <v>15117068.880000001</v>
      </c>
      <c r="I132" s="90">
        <v>14717186.710000001</v>
      </c>
      <c r="J132" s="90">
        <v>10670191</v>
      </c>
      <c r="K132" s="90">
        <v>5265608.8499999996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792BC-0CA0-4BE4-98CD-19042FD38630}">
  <sheetPr>
    <tabColor theme="5" tint="0.79998168889431442"/>
  </sheetPr>
  <dimension ref="A1:L177"/>
  <sheetViews>
    <sheetView topLeftCell="A141" workbookViewId="0">
      <selection sqref="A1:L275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403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7.5176005199962281</v>
      </c>
      <c r="B4" s="139">
        <f>MAX(F4:K4)</f>
        <v>88.717712790531976</v>
      </c>
      <c r="C4" s="155">
        <f>AVERAGE(F4:K4)</f>
        <v>54.190370839647663</v>
      </c>
      <c r="D4" s="156">
        <f>MEDIAN(F4:K4)</f>
        <v>61.204893831662119</v>
      </c>
      <c r="E4" s="47" t="s">
        <v>364</v>
      </c>
      <c r="F4" s="71">
        <f>SUM(F9:F12)/SUM(F13:F15)</f>
        <v>7.5176005199962281</v>
      </c>
      <c r="G4" s="71">
        <f t="shared" ref="G4:K4" si="0">SUM(G9:G12)/SUM(G13:G15)</f>
        <v>28.587989601251028</v>
      </c>
      <c r="H4" s="71">
        <f t="shared" si="0"/>
        <v>88.717712790531976</v>
      </c>
      <c r="I4" s="71">
        <f t="shared" si="0"/>
        <v>77.909134462782504</v>
      </c>
      <c r="J4" s="71">
        <f t="shared" si="0"/>
        <v>46.565071787026007</v>
      </c>
      <c r="K4" s="71">
        <f t="shared" si="0"/>
        <v>75.844715876298224</v>
      </c>
    </row>
    <row r="5" spans="1:11" s="43" customFormat="1" ht="13.2" x14ac:dyDescent="0.25">
      <c r="A5" s="139">
        <f t="shared" ref="A5:A7" si="1">MIN(F5:K5)</f>
        <v>15.501456158783075</v>
      </c>
      <c r="B5" s="139">
        <f t="shared" ref="B5:B7" si="2">MAX(F5:K5)</f>
        <v>88.717712790531976</v>
      </c>
      <c r="C5" s="155">
        <f t="shared" ref="C5:C7" si="3">AVERAGEIF(F5:K5,"&gt;0")</f>
        <v>55.521013446112136</v>
      </c>
      <c r="D5" s="156">
        <f t="shared" ref="D5:D7" si="4">_xlfn.AGGREGATE(12,6,F5:K5)</f>
        <v>61.204893831662119</v>
      </c>
      <c r="E5" s="47" t="s">
        <v>363</v>
      </c>
      <c r="F5" s="71">
        <f t="shared" ref="F5:K5" si="5">SUM(F9:F12)/F14</f>
        <v>15.501456158783075</v>
      </c>
      <c r="G5" s="71">
        <f t="shared" si="5"/>
        <v>28.587989601251028</v>
      </c>
      <c r="H5" s="71">
        <f t="shared" si="5"/>
        <v>88.717712790531976</v>
      </c>
      <c r="I5" s="71">
        <f t="shared" si="5"/>
        <v>77.909134462782504</v>
      </c>
      <c r="J5" s="71">
        <f t="shared" si="5"/>
        <v>46.565071787026007</v>
      </c>
      <c r="K5" s="71">
        <f t="shared" si="5"/>
        <v>75.844715876298224</v>
      </c>
    </row>
    <row r="6" spans="1:11" s="43" customFormat="1" ht="13.2" x14ac:dyDescent="0.25">
      <c r="A6" s="139">
        <f t="shared" si="1"/>
        <v>15.442069693961592</v>
      </c>
      <c r="B6" s="139">
        <f t="shared" si="2"/>
        <v>88.302591525943313</v>
      </c>
      <c r="C6" s="155">
        <f t="shared" si="3"/>
        <v>55.371749540341739</v>
      </c>
      <c r="D6" s="156">
        <f t="shared" si="4"/>
        <v>61.119577457382107</v>
      </c>
      <c r="E6" s="47" t="s">
        <v>365</v>
      </c>
      <c r="F6" s="71">
        <f t="shared" ref="F6:K6" si="6">SUM(F10:F11)/F14</f>
        <v>15.442069693961592</v>
      </c>
      <c r="G6" s="71">
        <f t="shared" si="6"/>
        <v>28.463474362546421</v>
      </c>
      <c r="H6" s="71">
        <f t="shared" si="6"/>
        <v>88.302591525943313</v>
      </c>
      <c r="I6" s="71">
        <f t="shared" si="6"/>
        <v>77.783206744834899</v>
      </c>
      <c r="J6" s="71">
        <f t="shared" si="6"/>
        <v>46.43913925337506</v>
      </c>
      <c r="K6" s="71">
        <f t="shared" si="6"/>
        <v>75.800015661389153</v>
      </c>
    </row>
    <row r="7" spans="1:11" s="43" customFormat="1" ht="13.8" thickBot="1" x14ac:dyDescent="0.3">
      <c r="A7" s="139">
        <f t="shared" si="1"/>
        <v>13.576124044134959</v>
      </c>
      <c r="B7" s="139">
        <f t="shared" si="2"/>
        <v>87.105568412917037</v>
      </c>
      <c r="C7" s="155">
        <f t="shared" si="3"/>
        <v>54.333262546234529</v>
      </c>
      <c r="D7" s="156">
        <f t="shared" si="4"/>
        <v>60.18105622533264</v>
      </c>
      <c r="E7" s="49" t="s">
        <v>366</v>
      </c>
      <c r="F7" s="73">
        <f t="shared" ref="F7:K7" si="7">F11/F14</f>
        <v>13.576124044134959</v>
      </c>
      <c r="G7" s="73">
        <f t="shared" si="7"/>
        <v>27.975115287584725</v>
      </c>
      <c r="H7" s="73">
        <f t="shared" si="7"/>
        <v>87.105568412917037</v>
      </c>
      <c r="I7" s="73">
        <f t="shared" si="7"/>
        <v>76.980655082105187</v>
      </c>
      <c r="J7" s="73">
        <f t="shared" si="7"/>
        <v>46.164652302616823</v>
      </c>
      <c r="K7" s="73">
        <f t="shared" si="7"/>
        <v>74.197460148048464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460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139719.23000000001</v>
      </c>
      <c r="G10" s="76">
        <f t="shared" si="8"/>
        <v>23119.07</v>
      </c>
      <c r="H10" s="76">
        <f t="shared" si="8"/>
        <v>11089.27</v>
      </c>
      <c r="I10" s="76">
        <f t="shared" si="8"/>
        <v>13501.76</v>
      </c>
      <c r="J10" s="76">
        <f t="shared" si="8"/>
        <v>8812.7000000000007</v>
      </c>
      <c r="K10" s="76">
        <f t="shared" si="8"/>
        <v>33153.379999999997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1016559.94</v>
      </c>
      <c r="G11" s="76">
        <f t="shared" si="8"/>
        <v>1324350.6299999999</v>
      </c>
      <c r="H11" s="76">
        <f t="shared" si="8"/>
        <v>806949.47</v>
      </c>
      <c r="I11" s="76">
        <f t="shared" si="8"/>
        <v>1295087.1299999999</v>
      </c>
      <c r="J11" s="76">
        <f t="shared" si="8"/>
        <v>1482166.02</v>
      </c>
      <c r="K11" s="76">
        <f t="shared" si="8"/>
        <v>1534983.7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3986.77</v>
      </c>
      <c r="G12" s="76">
        <f t="shared" si="8"/>
        <v>5894.59</v>
      </c>
      <c r="H12" s="76">
        <f t="shared" si="8"/>
        <v>3845.7</v>
      </c>
      <c r="I12" s="76">
        <f t="shared" si="8"/>
        <v>2118.5500000000002</v>
      </c>
      <c r="J12" s="76">
        <f t="shared" si="8"/>
        <v>4043.2</v>
      </c>
      <c r="K12" s="76">
        <f t="shared" si="8"/>
        <v>924.75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74878.509999999995</v>
      </c>
      <c r="G14" s="76">
        <f t="shared" ref="G14:K15" si="10">G130</f>
        <v>47340.31</v>
      </c>
      <c r="H14" s="76">
        <f t="shared" si="10"/>
        <v>9264.0400000000009</v>
      </c>
      <c r="I14" s="76">
        <f t="shared" si="10"/>
        <v>16823.54</v>
      </c>
      <c r="J14" s="76">
        <f t="shared" si="10"/>
        <v>32106.080000000002</v>
      </c>
      <c r="K14" s="76">
        <f t="shared" si="10"/>
        <v>20687.82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79522.61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5.612057354596474</v>
      </c>
      <c r="B19" s="152">
        <f t="shared" ref="B19:B25" si="12">MAX(F19:K19)</f>
        <v>52.281735611707269</v>
      </c>
      <c r="C19" s="156">
        <f>AVERAGE(F19:K19)</f>
        <v>18.57216543865923</v>
      </c>
      <c r="D19" s="156">
        <f>MEDIAN(F19:K19)</f>
        <v>8.324075238949451</v>
      </c>
      <c r="E19" s="47" t="s">
        <v>293</v>
      </c>
      <c r="F19" s="71">
        <f>F28/(F27/365)</f>
        <v>52.281735611707269</v>
      </c>
      <c r="G19" s="71">
        <f t="shared" ref="G19:K19" si="13">G28/(G27/365)</f>
        <v>5.612057354596474</v>
      </c>
      <c r="H19" s="71">
        <f t="shared" si="13"/>
        <v>6.9842962096303722</v>
      </c>
      <c r="I19" s="71">
        <f t="shared" si="13"/>
        <v>9.663854268268528</v>
      </c>
      <c r="J19" s="71">
        <f t="shared" si="13"/>
        <v>6.4091596133513802</v>
      </c>
      <c r="K19" s="71">
        <f t="shared" si="13"/>
        <v>30.481889574401361</v>
      </c>
    </row>
    <row r="20" spans="1:11" s="43" customFormat="1" ht="13.2" x14ac:dyDescent="0.25">
      <c r="A20" s="152">
        <f t="shared" si="11"/>
        <v>0</v>
      </c>
      <c r="B20" s="152">
        <f t="shared" si="12"/>
        <v>0.17212804838235468</v>
      </c>
      <c r="C20" s="156">
        <f t="shared" ref="C20:C25" si="14">AVERAGE(F20:K20)</f>
        <v>2.8688008063725779E-2</v>
      </c>
      <c r="D20" s="156">
        <f t="shared" ref="D20:D25" si="15">MEDIAN(F20:K20)</f>
        <v>0</v>
      </c>
      <c r="E20" s="121" t="s">
        <v>367</v>
      </c>
      <c r="F20" s="71">
        <f>F29/(F27/365)</f>
        <v>0.17212804838235468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5.8347212627940488</v>
      </c>
      <c r="B21" s="152">
        <f t="shared" si="12"/>
        <v>28.018895200170931</v>
      </c>
      <c r="C21" s="156">
        <f t="shared" si="14"/>
        <v>16.626181153633343</v>
      </c>
      <c r="D21" s="156">
        <f t="shared" si="15"/>
        <v>15.531105925552904</v>
      </c>
      <c r="E21" s="47" t="s">
        <v>368</v>
      </c>
      <c r="F21" s="71">
        <f>F30/(F27/365)</f>
        <v>28.018895200170931</v>
      </c>
      <c r="G21" s="71">
        <f t="shared" ref="G21:K21" si="17">G30/(G27/365)</f>
        <v>11.491661857694838</v>
      </c>
      <c r="H21" s="71">
        <f t="shared" si="17"/>
        <v>5.8347212627940488</v>
      </c>
      <c r="I21" s="71">
        <f t="shared" si="17"/>
        <v>12.041410811359876</v>
      </c>
      <c r="J21" s="71">
        <f t="shared" si="17"/>
        <v>23.349596750034436</v>
      </c>
      <c r="K21" s="71">
        <f t="shared" si="17"/>
        <v>19.020801039745933</v>
      </c>
    </row>
    <row r="22" spans="1:11" s="43" customFormat="1" ht="13.2" x14ac:dyDescent="0.25">
      <c r="A22" s="152">
        <f t="shared" si="11"/>
        <v>-16.940437136683055</v>
      </c>
      <c r="B22" s="152">
        <f t="shared" si="12"/>
        <v>24.434968459918693</v>
      </c>
      <c r="C22" s="156">
        <f t="shared" si="14"/>
        <v>1.974672293089613</v>
      </c>
      <c r="D22" s="156">
        <f t="shared" si="15"/>
        <v>-0.61399079812751234</v>
      </c>
      <c r="E22" s="47" t="s">
        <v>294</v>
      </c>
      <c r="F22" s="71">
        <f>F19+F20-F21</f>
        <v>24.434968459918693</v>
      </c>
      <c r="G22" s="71">
        <f t="shared" ref="G22:K22" si="18">G19+G20-G21</f>
        <v>-5.8796045030983644</v>
      </c>
      <c r="H22" s="71">
        <f t="shared" si="18"/>
        <v>1.1495749468363234</v>
      </c>
      <c r="I22" s="71">
        <f t="shared" si="18"/>
        <v>-2.3775565430913481</v>
      </c>
      <c r="J22" s="71">
        <f t="shared" si="18"/>
        <v>-16.940437136683055</v>
      </c>
      <c r="K22" s="71">
        <f t="shared" si="18"/>
        <v>11.461088534655428</v>
      </c>
    </row>
    <row r="23" spans="1:11" s="43" customFormat="1" ht="13.2" x14ac:dyDescent="0.25">
      <c r="A23" s="152">
        <f t="shared" si="11"/>
        <v>0.25301060953091947</v>
      </c>
      <c r="B23" s="152">
        <f t="shared" si="12"/>
        <v>1.0730801201066029</v>
      </c>
      <c r="C23" s="156">
        <f t="shared" si="14"/>
        <v>0.58199728182465538</v>
      </c>
      <c r="D23" s="156">
        <f t="shared" si="15"/>
        <v>0.5153260968070823</v>
      </c>
      <c r="E23" s="47" t="s">
        <v>295</v>
      </c>
      <c r="F23" s="71">
        <f>F27/F31</f>
        <v>0.81276956716995463</v>
      </c>
      <c r="G23" s="71">
        <f t="shared" ref="G23:K23" si="19">G27/G31</f>
        <v>1.0730801201066029</v>
      </c>
      <c r="H23" s="71">
        <f t="shared" si="19"/>
        <v>0.65990268113166839</v>
      </c>
      <c r="I23" s="71">
        <f t="shared" si="19"/>
        <v>0.37074951248249621</v>
      </c>
      <c r="J23" s="71">
        <f t="shared" si="19"/>
        <v>0.32247120052628986</v>
      </c>
      <c r="K23" s="71">
        <f t="shared" si="19"/>
        <v>0.25301060953091947</v>
      </c>
    </row>
    <row r="24" spans="1:11" s="43" customFormat="1" ht="13.2" x14ac:dyDescent="0.25">
      <c r="A24" s="152">
        <f t="shared" si="11"/>
        <v>7.8737953795379552</v>
      </c>
      <c r="B24" s="152">
        <f t="shared" si="12"/>
        <v>31.414479282554307</v>
      </c>
      <c r="C24" s="156">
        <f t="shared" si="14"/>
        <v>16.502059834610058</v>
      </c>
      <c r="D24" s="156">
        <f t="shared" si="15"/>
        <v>10.290753037587509</v>
      </c>
      <c r="E24" s="121" t="s">
        <v>369</v>
      </c>
      <c r="F24" s="71">
        <f>F27/F32</f>
        <v>24.748951431307997</v>
      </c>
      <c r="G24" s="71">
        <f t="shared" ref="G24:J24" si="20">G27/G32</f>
        <v>31.414479282554307</v>
      </c>
      <c r="H24" s="71">
        <f t="shared" si="20"/>
        <v>10.290753037587509</v>
      </c>
      <c r="I24" s="71">
        <f t="shared" si="20"/>
        <v>7.8737953795379552</v>
      </c>
      <c r="J24" s="71">
        <f t="shared" si="20"/>
        <v>8.1823200420625319</v>
      </c>
      <c r="K24" s="162"/>
    </row>
    <row r="25" spans="1:11" s="43" customFormat="1" ht="13.8" thickBot="1" x14ac:dyDescent="0.3">
      <c r="A25" s="152">
        <f t="shared" si="11"/>
        <v>0.25301060953091947</v>
      </c>
      <c r="B25" s="152">
        <f t="shared" si="12"/>
        <v>1.1110315981515959</v>
      </c>
      <c r="C25" s="156">
        <f t="shared" si="14"/>
        <v>0.60571663207663617</v>
      </c>
      <c r="D25" s="156">
        <f t="shared" si="15"/>
        <v>0.5470942135993746</v>
      </c>
      <c r="E25" s="49" t="s">
        <v>296</v>
      </c>
      <c r="F25" s="73">
        <f>F27/F33</f>
        <v>0.84036771849864911</v>
      </c>
      <c r="G25" s="73">
        <f t="shared" ref="G25:K25" si="21">G27/G33</f>
        <v>1.1110315981515959</v>
      </c>
      <c r="H25" s="73">
        <f t="shared" si="21"/>
        <v>0.70511899458760896</v>
      </c>
      <c r="I25" s="73">
        <f t="shared" si="21"/>
        <v>0.38906943261114019</v>
      </c>
      <c r="J25" s="73">
        <f t="shared" si="21"/>
        <v>0.3357014390799033</v>
      </c>
      <c r="K25" s="73">
        <f t="shared" si="21"/>
        <v>0.25301060953091947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975436.60999999987</v>
      </c>
      <c r="G27" s="76">
        <f t="shared" ref="G27:K27" si="22">G93+G86</f>
        <v>1503630.49</v>
      </c>
      <c r="H27" s="76">
        <f t="shared" si="22"/>
        <v>579526.32999999996</v>
      </c>
      <c r="I27" s="76">
        <f t="shared" si="22"/>
        <v>509956.20000000007</v>
      </c>
      <c r="J27" s="76">
        <f t="shared" si="22"/>
        <v>501881.01</v>
      </c>
      <c r="K27" s="76">
        <f t="shared" si="22"/>
        <v>396989.29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139719.23000000001</v>
      </c>
      <c r="G28" s="76">
        <f t="shared" ref="G28:K28" si="23">G116</f>
        <v>23119.07</v>
      </c>
      <c r="H28" s="76">
        <f t="shared" si="23"/>
        <v>11089.27</v>
      </c>
      <c r="I28" s="76">
        <f t="shared" si="23"/>
        <v>13501.76</v>
      </c>
      <c r="J28" s="76">
        <f t="shared" si="23"/>
        <v>8812.7000000000007</v>
      </c>
      <c r="K28" s="76">
        <f t="shared" si="23"/>
        <v>33153.379999999997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460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74878.509999999995</v>
      </c>
      <c r="G30" s="76">
        <f t="shared" ref="G30:K30" si="25">G130</f>
        <v>47340.31</v>
      </c>
      <c r="H30" s="76">
        <f t="shared" si="25"/>
        <v>9264.0400000000009</v>
      </c>
      <c r="I30" s="76">
        <f t="shared" si="25"/>
        <v>16823.54</v>
      </c>
      <c r="J30" s="76">
        <f t="shared" si="25"/>
        <v>32106.080000000002</v>
      </c>
      <c r="K30" s="76">
        <f t="shared" si="25"/>
        <v>20687.82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1200139.19</v>
      </c>
      <c r="G31" s="76">
        <f t="shared" ref="G31:K31" si="26">G120</f>
        <v>1401228.54</v>
      </c>
      <c r="H31" s="76">
        <f t="shared" si="26"/>
        <v>878199.69</v>
      </c>
      <c r="I31" s="76">
        <f t="shared" si="26"/>
        <v>1375473.69</v>
      </c>
      <c r="J31" s="76">
        <f t="shared" si="26"/>
        <v>1556359.17</v>
      </c>
      <c r="K31" s="76">
        <f t="shared" si="26"/>
        <v>1569061.83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39413.25</v>
      </c>
      <c r="G32" s="76">
        <f t="shared" ref="G32:K32" si="27">G108</f>
        <v>47864.25</v>
      </c>
      <c r="H32" s="76">
        <f t="shared" si="27"/>
        <v>56315.25</v>
      </c>
      <c r="I32" s="76">
        <f t="shared" si="27"/>
        <v>64766.25</v>
      </c>
      <c r="J32" s="76">
        <f t="shared" si="27"/>
        <v>61337.25</v>
      </c>
      <c r="K32" s="76">
        <f t="shared" si="27"/>
        <v>0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1160725.94</v>
      </c>
      <c r="G33" s="76">
        <f t="shared" ref="G33:K33" si="28">G114</f>
        <v>1353364.29</v>
      </c>
      <c r="H33" s="76">
        <f t="shared" si="28"/>
        <v>821884.44</v>
      </c>
      <c r="I33" s="76">
        <f t="shared" si="28"/>
        <v>1310707.44</v>
      </c>
      <c r="J33" s="76">
        <f t="shared" si="28"/>
        <v>1495021.92</v>
      </c>
      <c r="K33" s="76">
        <f t="shared" si="28"/>
        <v>1569061.83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1.0548899191708894E-2</v>
      </c>
      <c r="B37" s="139">
        <f t="shared" ref="B37:B41" si="30">MAX(F37:K37)</f>
        <v>6.239152143677601E-2</v>
      </c>
      <c r="C37" s="160">
        <f t="shared" ref="C37:C41" si="31">AVERAGE(F37:K37)</f>
        <v>2.5461694778269678E-2</v>
      </c>
      <c r="D37" s="160">
        <f t="shared" ref="D37:D41" si="32">MEDIAN(F37:K37)</f>
        <v>1.6906899946055928E-2</v>
      </c>
      <c r="E37" s="47" t="s">
        <v>370</v>
      </c>
      <c r="F37" s="119">
        <f>F43/F44*100%</f>
        <v>6.239152143677601E-2</v>
      </c>
      <c r="G37" s="119">
        <f t="shared" ref="G37:K37" si="33">G43/G44*100%</f>
        <v>3.3784859962957929E-2</v>
      </c>
      <c r="H37" s="119">
        <f t="shared" si="33"/>
        <v>1.0548899191708894E-2</v>
      </c>
      <c r="I37" s="119">
        <f t="shared" si="33"/>
        <v>1.2231088186063378E-2</v>
      </c>
      <c r="J37" s="119">
        <f t="shared" si="33"/>
        <v>2.062896574188592E-2</v>
      </c>
      <c r="K37" s="119">
        <f t="shared" si="33"/>
        <v>1.3184834150225934E-2</v>
      </c>
    </row>
    <row r="38" spans="1:11" s="43" customFormat="1" ht="13.2" x14ac:dyDescent="0.25">
      <c r="A38" s="139">
        <f t="shared" si="29"/>
        <v>1.0661364854808295E-2</v>
      </c>
      <c r="B38" s="139">
        <f t="shared" si="30"/>
        <v>7.1603503925222883E-2</v>
      </c>
      <c r="C38" s="155">
        <f t="shared" si="31"/>
        <v>2.733967948737585E-2</v>
      </c>
      <c r="D38" s="156">
        <f t="shared" si="32"/>
        <v>1.7212240149721669E-2</v>
      </c>
      <c r="E38" s="50" t="s">
        <v>298</v>
      </c>
      <c r="F38" s="122">
        <f>F43/F45</f>
        <v>7.1603503925222883E-2</v>
      </c>
      <c r="G38" s="122">
        <f t="shared" ref="G38:K38" si="34">G43/G45</f>
        <v>3.4966187718464763E-2</v>
      </c>
      <c r="H38" s="122">
        <f t="shared" si="34"/>
        <v>1.0661364854808295E-2</v>
      </c>
      <c r="I38" s="122">
        <f t="shared" si="34"/>
        <v>1.2382540126315816E-2</v>
      </c>
      <c r="J38" s="122">
        <f t="shared" si="34"/>
        <v>2.1063483623969561E-2</v>
      </c>
      <c r="K38" s="122">
        <f t="shared" si="34"/>
        <v>1.3360996675473776E-2</v>
      </c>
    </row>
    <row r="39" spans="1:11" s="43" customFormat="1" ht="13.2" x14ac:dyDescent="0.25">
      <c r="A39" s="139">
        <f t="shared" si="29"/>
        <v>1.0106613648548082</v>
      </c>
      <c r="B39" s="139">
        <f t="shared" si="30"/>
        <v>1.1476479860774313</v>
      </c>
      <c r="C39" s="155">
        <f t="shared" si="31"/>
        <v>1.040013759846077</v>
      </c>
      <c r="D39" s="156">
        <f t="shared" si="32"/>
        <v>1.0172122401497217</v>
      </c>
      <c r="E39" s="50" t="s">
        <v>299</v>
      </c>
      <c r="F39" s="122">
        <f>F44/F45</f>
        <v>1.1476479860774313</v>
      </c>
      <c r="G39" s="122">
        <f t="shared" ref="G39:K39" si="35">G44/G45</f>
        <v>1.0349661877184648</v>
      </c>
      <c r="H39" s="122">
        <f t="shared" si="35"/>
        <v>1.0106613648548082</v>
      </c>
      <c r="I39" s="122">
        <f t="shared" si="35"/>
        <v>1.0123825401263158</v>
      </c>
      <c r="J39" s="122">
        <f t="shared" si="35"/>
        <v>1.0210634836239694</v>
      </c>
      <c r="K39" s="122">
        <f t="shared" si="35"/>
        <v>1.0133609966754737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-20514.989347536615</v>
      </c>
      <c r="B41" s="139">
        <f t="shared" si="30"/>
        <v>-20514.989347536615</v>
      </c>
      <c r="C41" s="155">
        <f t="shared" si="31"/>
        <v>-20514.989347536615</v>
      </c>
      <c r="D41" s="156">
        <f t="shared" si="32"/>
        <v>-20514.989347536615</v>
      </c>
      <c r="E41" s="51" t="s">
        <v>300</v>
      </c>
      <c r="F41" s="123">
        <f>(F47+F48)/F48</f>
        <v>-20514.989347536615</v>
      </c>
      <c r="G41" s="171"/>
      <c r="H41" s="171"/>
      <c r="I41" s="171"/>
      <c r="J41" s="171"/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74878.509999999995</v>
      </c>
      <c r="G43" s="76">
        <f t="shared" ref="G43:K43" si="37">G129+G130</f>
        <v>47340.31</v>
      </c>
      <c r="H43" s="76">
        <f t="shared" si="37"/>
        <v>9264.0400000000009</v>
      </c>
      <c r="I43" s="76">
        <f t="shared" si="37"/>
        <v>16823.54</v>
      </c>
      <c r="J43" s="76">
        <f t="shared" si="37"/>
        <v>32106.080000000002</v>
      </c>
      <c r="K43" s="76">
        <f t="shared" si="37"/>
        <v>20687.82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1200139.19</v>
      </c>
      <c r="G44" s="76">
        <f t="shared" ref="G44:K44" si="38">G120</f>
        <v>1401228.54</v>
      </c>
      <c r="H44" s="76">
        <f t="shared" si="38"/>
        <v>878199.69</v>
      </c>
      <c r="I44" s="76">
        <f t="shared" si="38"/>
        <v>1375473.69</v>
      </c>
      <c r="J44" s="76">
        <f t="shared" si="38"/>
        <v>1556359.17</v>
      </c>
      <c r="K44" s="76">
        <f t="shared" si="38"/>
        <v>1569061.83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1045738.07</v>
      </c>
      <c r="G45" s="76">
        <f t="shared" ref="G45:K45" si="39">G122</f>
        <v>1353888.23</v>
      </c>
      <c r="H45" s="76">
        <f t="shared" si="39"/>
        <v>868935.65</v>
      </c>
      <c r="I45" s="76">
        <f t="shared" si="39"/>
        <v>1358650.15</v>
      </c>
      <c r="J45" s="76">
        <f t="shared" si="39"/>
        <v>1524253.09</v>
      </c>
      <c r="K45" s="76">
        <f t="shared" si="39"/>
        <v>1548374.01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0">G129</f>
        <v>0</v>
      </c>
      <c r="H46" s="76">
        <f t="shared" si="40"/>
        <v>0</v>
      </c>
      <c r="I46" s="76">
        <f t="shared" si="40"/>
        <v>0</v>
      </c>
      <c r="J46" s="76">
        <f t="shared" si="40"/>
        <v>0</v>
      </c>
      <c r="K46" s="76">
        <f t="shared" si="40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-308150.15999999997</v>
      </c>
      <c r="G47" s="76">
        <f t="shared" ref="G47:K47" si="41">G102</f>
        <v>484952.58</v>
      </c>
      <c r="H47" s="76">
        <f t="shared" si="41"/>
        <v>-489714.5</v>
      </c>
      <c r="I47" s="76">
        <f t="shared" si="41"/>
        <v>-165602.94</v>
      </c>
      <c r="J47" s="76">
        <f t="shared" si="41"/>
        <v>-24120.92</v>
      </c>
      <c r="K47" s="76">
        <f t="shared" si="41"/>
        <v>-49907.79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15.02</v>
      </c>
      <c r="G48" s="76">
        <f t="shared" ref="G48:K48" si="42">G101</f>
        <v>0</v>
      </c>
      <c r="H48" s="76">
        <f t="shared" si="42"/>
        <v>168.02</v>
      </c>
      <c r="I48" s="76">
        <f t="shared" si="42"/>
        <v>222</v>
      </c>
      <c r="J48" s="76">
        <f t="shared" si="42"/>
        <v>0</v>
      </c>
      <c r="K48" s="76">
        <f t="shared" si="42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3">MIN(F52:K52)</f>
        <v>-1.8129182408288331</v>
      </c>
      <c r="B52" s="139">
        <f t="shared" ref="B52:B63" si="44">MAX(F52:K52)</f>
        <v>1.4744618523515469</v>
      </c>
      <c r="C52" s="160">
        <f t="shared" ref="C52:C63" si="45">AVERAGE(F52:K52)</f>
        <v>-0.29901206267399538</v>
      </c>
      <c r="D52" s="160">
        <f t="shared" ref="D52:D63" si="46">MEDIAN(F52:K52)</f>
        <v>-0.38805577777318956</v>
      </c>
      <c r="E52" s="50" t="s">
        <v>350</v>
      </c>
      <c r="F52" s="119">
        <f t="shared" ref="F52:K52" si="47">(F65/(F70+F71))*100%</f>
        <v>-0.49173322652614765</v>
      </c>
      <c r="G52" s="119">
        <f t="shared" si="47"/>
        <v>1.4744618523515469</v>
      </c>
      <c r="H52" s="119">
        <f t="shared" si="47"/>
        <v>-1.8129182408288331</v>
      </c>
      <c r="I52" s="119">
        <f t="shared" si="47"/>
        <v>-0.58119718825052602</v>
      </c>
      <c r="J52" s="119">
        <f t="shared" si="47"/>
        <v>-9.830724376978088E-2</v>
      </c>
      <c r="K52" s="120">
        <f t="shared" si="47"/>
        <v>-0.28437832902023141</v>
      </c>
    </row>
    <row r="53" spans="1:11" s="43" customFormat="1" ht="13.2" x14ac:dyDescent="0.25">
      <c r="A53" s="139">
        <f t="shared" si="43"/>
        <v>0.29935809426919729</v>
      </c>
      <c r="B53" s="139">
        <f t="shared" si="44"/>
        <v>0.55005537563538343</v>
      </c>
      <c r="C53" s="160">
        <f t="shared" si="45"/>
        <v>0.38603527927320064</v>
      </c>
      <c r="D53" s="160">
        <f t="shared" si="46"/>
        <v>0.35540344744074781</v>
      </c>
      <c r="E53" s="50" t="s">
        <v>351</v>
      </c>
      <c r="F53" s="119">
        <f>(F66/F70)*100%</f>
        <v>0.31634463659058121</v>
      </c>
      <c r="G53" s="119">
        <f t="shared" ref="G53:K53" si="48">(G66/G70)*100%</f>
        <v>0.55005537563538343</v>
      </c>
      <c r="H53" s="119">
        <f t="shared" si="48"/>
        <v>0.32445661068499465</v>
      </c>
      <c r="I53" s="119">
        <f t="shared" si="48"/>
        <v>0.38635028419650097</v>
      </c>
      <c r="J53" s="119">
        <f t="shared" si="48"/>
        <v>0.43964667426254617</v>
      </c>
      <c r="K53" s="120">
        <f t="shared" si="48"/>
        <v>0.29935809426919729</v>
      </c>
    </row>
    <row r="54" spans="1:11" s="43" customFormat="1" ht="13.2" x14ac:dyDescent="0.25">
      <c r="A54" s="139">
        <f t="shared" si="43"/>
        <v>-0.52665810785560341</v>
      </c>
      <c r="B54" s="139">
        <f t="shared" si="44"/>
        <v>0.10248532753474732</v>
      </c>
      <c r="C54" s="160">
        <f t="shared" si="45"/>
        <v>-0.24072447159332508</v>
      </c>
      <c r="D54" s="160">
        <f t="shared" si="46"/>
        <v>-0.26274809737415117</v>
      </c>
      <c r="E54" s="50" t="s">
        <v>342</v>
      </c>
      <c r="F54" s="119">
        <f>(F67/SUM(F72:F74))*100%</f>
        <v>-0.16253502054696634</v>
      </c>
      <c r="G54" s="119">
        <f t="shared" ref="G54:K54" si="49">(G67/SUM(G72:G74))*100%</f>
        <v>0.10248532753474732</v>
      </c>
      <c r="H54" s="119">
        <f t="shared" si="49"/>
        <v>-0.52665810785560341</v>
      </c>
      <c r="I54" s="119">
        <f t="shared" si="49"/>
        <v>-0.33214283394382577</v>
      </c>
      <c r="J54" s="119">
        <f t="shared" si="49"/>
        <v>-0.19999768456923434</v>
      </c>
      <c r="K54" s="120">
        <f t="shared" si="49"/>
        <v>-0.32549851017906806</v>
      </c>
    </row>
    <row r="55" spans="1:11" s="43" customFormat="1" ht="13.2" x14ac:dyDescent="0.25">
      <c r="A55" s="139">
        <f t="shared" si="43"/>
        <v>-0.62556287980165204</v>
      </c>
      <c r="B55" s="139">
        <f t="shared" si="44"/>
        <v>-0.20105605505568272</v>
      </c>
      <c r="C55" s="160">
        <f t="shared" si="45"/>
        <v>-0.41852790669011591</v>
      </c>
      <c r="D55" s="160">
        <f t="shared" si="46"/>
        <v>-0.38219476435587652</v>
      </c>
      <c r="E55" s="50" t="s">
        <v>343</v>
      </c>
      <c r="F55" s="119">
        <f>((F72-F76)/F76)*100%</f>
        <v>-0.20105605505568272</v>
      </c>
      <c r="G55" s="119">
        <f t="shared" ref="G55:K57" si="50">((G72-G76)/G76)*100%</f>
        <v>-0.3753834443557843</v>
      </c>
      <c r="H55" s="119">
        <f t="shared" si="50"/>
        <v>-0.34144425983596427</v>
      </c>
      <c r="I55" s="119">
        <f t="shared" si="50"/>
        <v>-0.57871471673564345</v>
      </c>
      <c r="J55" s="119">
        <f t="shared" si="50"/>
        <v>-0.38900608435596867</v>
      </c>
      <c r="K55" s="120">
        <f t="shared" si="50"/>
        <v>-0.62556287980165204</v>
      </c>
    </row>
    <row r="56" spans="1:11" s="43" customFormat="1" ht="13.2" x14ac:dyDescent="0.25">
      <c r="A56" s="139">
        <f t="shared" si="43"/>
        <v>-0.50763260192148985</v>
      </c>
      <c r="B56" s="139">
        <f t="shared" si="44"/>
        <v>10.881596457651652</v>
      </c>
      <c r="C56" s="160">
        <f t="shared" si="45"/>
        <v>1.6629174587395006</v>
      </c>
      <c r="D56" s="160">
        <f t="shared" si="46"/>
        <v>-6.8712779588015221E-2</v>
      </c>
      <c r="E56" s="50" t="s">
        <v>344</v>
      </c>
      <c r="F56" s="119">
        <f>((F73-F77)/F77)*100%</f>
        <v>7.4780089737375099E-2</v>
      </c>
      <c r="G56" s="119">
        <f t="shared" si="50"/>
        <v>10.881596457651652</v>
      </c>
      <c r="H56" s="119">
        <f t="shared" si="50"/>
        <v>-0.3599497993290578</v>
      </c>
      <c r="I56" s="119">
        <f t="shared" si="50"/>
        <v>0.10091625521192904</v>
      </c>
      <c r="J56" s="119">
        <f t="shared" si="50"/>
        <v>-0.21220564891340557</v>
      </c>
      <c r="K56" s="120">
        <f t="shared" si="50"/>
        <v>-0.50763260192148985</v>
      </c>
    </row>
    <row r="57" spans="1:11" s="43" customFormat="1" ht="13.2" x14ac:dyDescent="0.25">
      <c r="A57" s="139">
        <f t="shared" si="43"/>
        <v>-0.33290701527508837</v>
      </c>
      <c r="B57" s="139">
        <f t="shared" si="44"/>
        <v>0.43307917400655893</v>
      </c>
      <c r="C57" s="160">
        <f t="shared" si="45"/>
        <v>5.9537439310755634E-2</v>
      </c>
      <c r="D57" s="160">
        <f t="shared" si="46"/>
        <v>0.18885271165055387</v>
      </c>
      <c r="E57" s="50" t="s">
        <v>346</v>
      </c>
      <c r="F57" s="177"/>
      <c r="G57" s="119">
        <f t="shared" si="50"/>
        <v>-0.26449485286382507</v>
      </c>
      <c r="H57" s="119">
        <f t="shared" si="50"/>
        <v>-0.33290701527508837</v>
      </c>
      <c r="I57" s="119">
        <f t="shared" si="50"/>
        <v>0.43307917400655893</v>
      </c>
      <c r="J57" s="119">
        <f t="shared" si="50"/>
        <v>0.27315717903557885</v>
      </c>
      <c r="K57" s="120">
        <f t="shared" si="50"/>
        <v>0.18885271165055387</v>
      </c>
    </row>
    <row r="58" spans="1:11" s="43" customFormat="1" ht="13.2" x14ac:dyDescent="0.25">
      <c r="A58" s="139">
        <f t="shared" si="43"/>
        <v>-0.3635795244222173</v>
      </c>
      <c r="B58" s="139">
        <f t="shared" si="44"/>
        <v>0.14760387319633753</v>
      </c>
      <c r="C58" s="155">
        <f t="shared" si="45"/>
        <v>-0.10048609282974987</v>
      </c>
      <c r="D58" s="156">
        <f t="shared" si="46"/>
        <v>-0.10370910810607248</v>
      </c>
      <c r="E58" s="50" t="s">
        <v>356</v>
      </c>
      <c r="F58" s="71">
        <f>F68/(F70+F71+F72+F73+F74+F75)</f>
        <v>-0.15798724386584528</v>
      </c>
      <c r="G58" s="71">
        <f t="shared" ref="G58:K58" si="51">G68/(G70+G71+G72+G73+G74)</f>
        <v>0.14760387319633753</v>
      </c>
      <c r="H58" s="71">
        <f t="shared" si="51"/>
        <v>-0.3635795244222173</v>
      </c>
      <c r="I58" s="71">
        <f t="shared" si="51"/>
        <v>-0.14799849530384804</v>
      </c>
      <c r="J58" s="71">
        <f t="shared" si="51"/>
        <v>-2.15354456746292E-2</v>
      </c>
      <c r="K58" s="72">
        <f t="shared" si="51"/>
        <v>-5.9419720908296905E-2</v>
      </c>
    </row>
    <row r="59" spans="1:11" s="43" customFormat="1" ht="13.2" x14ac:dyDescent="0.25">
      <c r="A59" s="139">
        <f t="shared" si="43"/>
        <v>-0.3635770194618716</v>
      </c>
      <c r="B59" s="139">
        <f t="shared" si="44"/>
        <v>0.14739362006789247</v>
      </c>
      <c r="C59" s="155">
        <f t="shared" si="45"/>
        <v>-0.10032026153443054</v>
      </c>
      <c r="D59" s="156">
        <f t="shared" si="46"/>
        <v>-0.10318846827958889</v>
      </c>
      <c r="E59" s="50" t="s">
        <v>361</v>
      </c>
      <c r="F59" s="71">
        <f>F69/(F70+F71+F72+F73+F74+F75)</f>
        <v>-0.15798724386584528</v>
      </c>
      <c r="G59" s="71">
        <f t="shared" ref="G59:K59" si="52">G69/(G70+G71+G72+G73+G74+G75)</f>
        <v>0.14739362006789247</v>
      </c>
      <c r="H59" s="71">
        <f t="shared" si="52"/>
        <v>-0.3635770194618716</v>
      </c>
      <c r="I59" s="71">
        <f t="shared" si="52"/>
        <v>-0.14774958360516929</v>
      </c>
      <c r="J59" s="71">
        <f t="shared" si="52"/>
        <v>-2.1373989387581026E-2</v>
      </c>
      <c r="K59" s="72">
        <f t="shared" si="52"/>
        <v>-5.8627352954008484E-2</v>
      </c>
    </row>
    <row r="60" spans="1:11" s="43" customFormat="1" ht="26.4" x14ac:dyDescent="0.25">
      <c r="A60" s="139">
        <f t="shared" si="43"/>
        <v>-0.54972285403562371</v>
      </c>
      <c r="B60" s="139">
        <f t="shared" si="44"/>
        <v>0.34426906548734726</v>
      </c>
      <c r="C60" s="160">
        <f t="shared" si="45"/>
        <v>-0.1081845273347181</v>
      </c>
      <c r="D60" s="160">
        <f t="shared" si="46"/>
        <v>-8.8554122364784826E-2</v>
      </c>
      <c r="E60" s="50" t="s">
        <v>372</v>
      </c>
      <c r="F60" s="119">
        <f>F65/F79*100%</f>
        <v>-0.24735602542901711</v>
      </c>
      <c r="G60" s="119">
        <f t="shared" ref="G60:K60" si="53">G65/G79*100%</f>
        <v>0.34426906548734726</v>
      </c>
      <c r="H60" s="119">
        <f t="shared" si="53"/>
        <v>-0.54972285403562371</v>
      </c>
      <c r="I60" s="119">
        <f t="shared" si="53"/>
        <v>-0.12088760490940398</v>
      </c>
      <c r="J60" s="119">
        <f t="shared" si="53"/>
        <v>-1.9189105301445297E-2</v>
      </c>
      <c r="K60" s="120">
        <f t="shared" si="53"/>
        <v>-5.622063982016566E-2</v>
      </c>
    </row>
    <row r="61" spans="1:11" s="43" customFormat="1" ht="13.2" x14ac:dyDescent="0.25">
      <c r="A61" s="139">
        <f t="shared" si="43"/>
        <v>-0.55763456259020094</v>
      </c>
      <c r="B61" s="139">
        <f t="shared" si="44"/>
        <v>0.34609099526334225</v>
      </c>
      <c r="C61" s="155">
        <f t="shared" si="45"/>
        <v>-0.10600138619510574</v>
      </c>
      <c r="D61" s="156">
        <f t="shared" si="46"/>
        <v>-7.6102216474559128E-2</v>
      </c>
      <c r="E61" s="50" t="s">
        <v>373</v>
      </c>
      <c r="F61" s="71">
        <f>F69/F79</f>
        <v>-0.25676201774562496</v>
      </c>
      <c r="G61" s="71">
        <f t="shared" ref="G61:K61" si="54">G69/G79</f>
        <v>0.34609099526334225</v>
      </c>
      <c r="H61" s="71">
        <f t="shared" si="54"/>
        <v>-0.55763456259020094</v>
      </c>
      <c r="I61" s="71">
        <f t="shared" si="54"/>
        <v>-0.12039702482422619</v>
      </c>
      <c r="J61" s="71">
        <f t="shared" si="54"/>
        <v>-1.5498299149032545E-2</v>
      </c>
      <c r="K61" s="72">
        <f t="shared" si="54"/>
        <v>-3.1807408124892057E-2</v>
      </c>
    </row>
    <row r="62" spans="1:11" s="43" customFormat="1" ht="13.2" x14ac:dyDescent="0.25">
      <c r="A62" s="139">
        <f t="shared" si="43"/>
        <v>-0.29467241256694421</v>
      </c>
      <c r="B62" s="139">
        <f t="shared" si="44"/>
        <v>0.13236999630316604</v>
      </c>
      <c r="C62" s="155">
        <f t="shared" si="45"/>
        <v>2.6699213929974763E-2</v>
      </c>
      <c r="D62" s="156">
        <f t="shared" si="46"/>
        <v>8.4364215678830526E-2</v>
      </c>
      <c r="E62" s="50" t="s">
        <v>374</v>
      </c>
      <c r="F62" s="71">
        <f>F69/F80</f>
        <v>-0.29467241256694421</v>
      </c>
      <c r="G62" s="71">
        <f>G66/G80</f>
        <v>0.13236999630316604</v>
      </c>
      <c r="H62" s="71">
        <f>H66/H80</f>
        <v>9.9383274239007224E-2</v>
      </c>
      <c r="I62" s="71">
        <f>I66/I80</f>
        <v>8.1219650253599132E-2</v>
      </c>
      <c r="J62" s="71">
        <f>J66/J80</f>
        <v>8.750878110406192E-2</v>
      </c>
      <c r="K62" s="72">
        <f>K66/K80</f>
        <v>5.4385994246958461E-2</v>
      </c>
    </row>
    <row r="63" spans="1:11" s="43" customFormat="1" ht="13.8" thickBot="1" x14ac:dyDescent="0.3">
      <c r="A63" s="139">
        <f t="shared" si="43"/>
        <v>-0.55558364995152398</v>
      </c>
      <c r="B63" s="139">
        <f t="shared" si="44"/>
        <v>0.35630684225683829</v>
      </c>
      <c r="C63" s="155">
        <f t="shared" si="45"/>
        <v>-0.11368400849316679</v>
      </c>
      <c r="D63" s="156">
        <f t="shared" si="46"/>
        <v>-8.967815206493239E-2</v>
      </c>
      <c r="E63" s="51" t="s">
        <v>302</v>
      </c>
      <c r="F63" s="73">
        <f t="shared" ref="F63:K63" si="55">F65/(F80+F81)</f>
        <v>-0.28387764442772939</v>
      </c>
      <c r="G63" s="73">
        <f t="shared" si="55"/>
        <v>0.35630684225683829</v>
      </c>
      <c r="H63" s="73">
        <f t="shared" si="55"/>
        <v>-0.55558364995152398</v>
      </c>
      <c r="I63" s="73">
        <f t="shared" si="55"/>
        <v>-0.12238450052796888</v>
      </c>
      <c r="J63" s="73">
        <f t="shared" si="55"/>
        <v>-1.9593294706720915E-2</v>
      </c>
      <c r="K63" s="74">
        <f t="shared" si="55"/>
        <v>-5.6971803601895903E-2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-296861.65999999997</v>
      </c>
      <c r="G65" s="76">
        <f t="shared" ref="G65:K65" si="56">G97</f>
        <v>482399.64</v>
      </c>
      <c r="H65" s="76">
        <f t="shared" si="56"/>
        <v>-482766.44</v>
      </c>
      <c r="I65" s="76">
        <f t="shared" si="56"/>
        <v>-166277.72</v>
      </c>
      <c r="J65" s="76">
        <f t="shared" si="56"/>
        <v>-29865.14</v>
      </c>
      <c r="K65" s="76">
        <f t="shared" si="56"/>
        <v>-88213.66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190541.04</v>
      </c>
      <c r="G66" s="76">
        <f t="shared" ref="G66:K66" si="57">G95</f>
        <v>179214.18</v>
      </c>
      <c r="H66" s="76">
        <f t="shared" si="57"/>
        <v>86357.67</v>
      </c>
      <c r="I66" s="76">
        <f t="shared" si="57"/>
        <v>110349.09</v>
      </c>
      <c r="J66" s="76">
        <f t="shared" si="57"/>
        <v>133385.53</v>
      </c>
      <c r="K66" s="76">
        <f t="shared" si="57"/>
        <v>84209.86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-218596.79</v>
      </c>
      <c r="G67" s="76">
        <f t="shared" ref="G67:K67" si="58">G92</f>
        <v>303185.46000000002</v>
      </c>
      <c r="H67" s="76">
        <f t="shared" si="58"/>
        <v>-569124.11</v>
      </c>
      <c r="I67" s="76">
        <f t="shared" si="58"/>
        <v>-276626.81</v>
      </c>
      <c r="J67" s="76">
        <f t="shared" si="58"/>
        <v>-163250.67000000001</v>
      </c>
      <c r="K67" s="76">
        <f t="shared" si="58"/>
        <v>-172423.52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-308150.15999999997</v>
      </c>
      <c r="G68" s="76">
        <f t="shared" ref="G68:K68" si="59">G102</f>
        <v>484952.58</v>
      </c>
      <c r="H68" s="76">
        <f t="shared" si="59"/>
        <v>-489714.5</v>
      </c>
      <c r="I68" s="76">
        <f t="shared" si="59"/>
        <v>-165602.94</v>
      </c>
      <c r="J68" s="76">
        <f t="shared" si="59"/>
        <v>-24120.92</v>
      </c>
      <c r="K68" s="76">
        <f t="shared" si="59"/>
        <v>-49907.79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-308150.15999999997</v>
      </c>
      <c r="G69" s="76">
        <f t="shared" ref="G69:K69" si="60">G104</f>
        <v>484952.58</v>
      </c>
      <c r="H69" s="76">
        <f t="shared" si="60"/>
        <v>-489714.5</v>
      </c>
      <c r="I69" s="76">
        <f t="shared" si="60"/>
        <v>-165602.94</v>
      </c>
      <c r="J69" s="76">
        <f t="shared" si="60"/>
        <v>-24120.92</v>
      </c>
      <c r="K69" s="76">
        <f t="shared" si="60"/>
        <v>-49907.79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602321.06999999995</v>
      </c>
      <c r="G70" s="76">
        <f t="shared" ref="G70:K70" si="61">G93</f>
        <v>325811.15999999997</v>
      </c>
      <c r="H70" s="76">
        <f t="shared" si="61"/>
        <v>266160.92</v>
      </c>
      <c r="I70" s="76">
        <f t="shared" si="61"/>
        <v>285619.28000000003</v>
      </c>
      <c r="J70" s="76">
        <f t="shared" si="61"/>
        <v>303392.56</v>
      </c>
      <c r="K70" s="76">
        <f t="shared" si="61"/>
        <v>281301.43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1383.63</v>
      </c>
      <c r="G71" s="76">
        <f t="shared" ref="G71:K71" si="62">G98</f>
        <v>1358.81</v>
      </c>
      <c r="H71" s="76">
        <f t="shared" si="62"/>
        <v>131.53</v>
      </c>
      <c r="I71" s="76">
        <f t="shared" si="62"/>
        <v>475.91</v>
      </c>
      <c r="J71" s="76">
        <f t="shared" si="62"/>
        <v>401.33</v>
      </c>
      <c r="K71" s="76">
        <f t="shared" si="62"/>
        <v>28896.82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971805.63</v>
      </c>
      <c r="G72" s="76">
        <f t="shared" ref="G72:K74" si="63">G85</f>
        <v>560192.13</v>
      </c>
      <c r="H72" s="76">
        <f t="shared" si="63"/>
        <v>514394.26</v>
      </c>
      <c r="I72" s="76">
        <f t="shared" si="63"/>
        <v>287063</v>
      </c>
      <c r="J72" s="76">
        <f t="shared" si="63"/>
        <v>284681</v>
      </c>
      <c r="K72" s="76">
        <f t="shared" si="63"/>
        <v>65000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373115.54</v>
      </c>
      <c r="G73" s="76">
        <f t="shared" si="63"/>
        <v>1177819.33</v>
      </c>
      <c r="H73" s="76">
        <f t="shared" si="63"/>
        <v>313365.40999999997</v>
      </c>
      <c r="I73" s="76">
        <f t="shared" si="63"/>
        <v>224336.92</v>
      </c>
      <c r="J73" s="76">
        <f t="shared" si="63"/>
        <v>198488.45</v>
      </c>
      <c r="K73" s="76">
        <f t="shared" si="63"/>
        <v>115687.86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3"/>
        <v>1220318.94</v>
      </c>
      <c r="H74" s="76">
        <f t="shared" si="63"/>
        <v>252873.29</v>
      </c>
      <c r="I74" s="76">
        <f t="shared" si="63"/>
        <v>321455.05</v>
      </c>
      <c r="J74" s="76">
        <f t="shared" si="63"/>
        <v>333093.34999999998</v>
      </c>
      <c r="K74" s="76">
        <f t="shared" si="63"/>
        <v>349033.52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1849.07</v>
      </c>
      <c r="G75" s="76">
        <f t="shared" ref="G75:K75" si="64">G100</f>
        <v>4686.68</v>
      </c>
      <c r="H75" s="76">
        <f t="shared" si="64"/>
        <v>9.2799999999999994</v>
      </c>
      <c r="I75" s="76">
        <f t="shared" si="64"/>
        <v>1885.08</v>
      </c>
      <c r="J75" s="76">
        <f t="shared" si="64"/>
        <v>8460.76</v>
      </c>
      <c r="K75" s="76">
        <f t="shared" si="64"/>
        <v>11351.79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1216362.72</v>
      </c>
      <c r="G76" s="76">
        <f t="shared" ref="G76:K78" si="65">G89</f>
        <v>896857.64</v>
      </c>
      <c r="H76" s="76">
        <f t="shared" si="65"/>
        <v>781094.49</v>
      </c>
      <c r="I76" s="76">
        <f t="shared" si="65"/>
        <v>681398.12</v>
      </c>
      <c r="J76" s="76">
        <f t="shared" si="65"/>
        <v>465930.99</v>
      </c>
      <c r="K76" s="76">
        <f t="shared" si="65"/>
        <v>173593.9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347155.24</v>
      </c>
      <c r="G77" s="76">
        <f t="shared" si="65"/>
        <v>99129.72</v>
      </c>
      <c r="H77" s="76">
        <f t="shared" si="65"/>
        <v>489595.05</v>
      </c>
      <c r="I77" s="76">
        <f t="shared" si="65"/>
        <v>203772.92</v>
      </c>
      <c r="J77" s="76">
        <f t="shared" si="65"/>
        <v>251954.65</v>
      </c>
      <c r="K77" s="76">
        <f t="shared" si="65"/>
        <v>234962.47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5"/>
        <v>1659157.58</v>
      </c>
      <c r="H78" s="76">
        <f t="shared" si="65"/>
        <v>379067.53</v>
      </c>
      <c r="I78" s="76">
        <f t="shared" si="65"/>
        <v>224310.74</v>
      </c>
      <c r="J78" s="76">
        <f t="shared" si="65"/>
        <v>261627.83</v>
      </c>
      <c r="K78" s="76">
        <f t="shared" si="65"/>
        <v>293588.53000000003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1200139.19</v>
      </c>
      <c r="G79" s="76">
        <f t="shared" ref="G79:K79" si="66">G120</f>
        <v>1401228.54</v>
      </c>
      <c r="H79" s="76">
        <f t="shared" si="66"/>
        <v>878199.69</v>
      </c>
      <c r="I79" s="76">
        <f t="shared" si="66"/>
        <v>1375473.69</v>
      </c>
      <c r="J79" s="76">
        <f t="shared" si="66"/>
        <v>1556359.17</v>
      </c>
      <c r="K79" s="76">
        <f t="shared" si="66"/>
        <v>1569061.83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1045738.07</v>
      </c>
      <c r="G80" s="76">
        <f t="shared" ref="G80:K80" si="67">G122</f>
        <v>1353888.23</v>
      </c>
      <c r="H80" s="76">
        <f t="shared" si="67"/>
        <v>868935.65</v>
      </c>
      <c r="I80" s="76">
        <f t="shared" si="67"/>
        <v>1358650.15</v>
      </c>
      <c r="J80" s="76">
        <f t="shared" si="67"/>
        <v>1524253.09</v>
      </c>
      <c r="K80" s="76">
        <f t="shared" si="67"/>
        <v>1548374.01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8">G129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1344921.17</v>
      </c>
      <c r="G84" s="90">
        <v>2958330.4</v>
      </c>
      <c r="H84" s="90">
        <v>1080632.96</v>
      </c>
      <c r="I84" s="90">
        <v>832854.97</v>
      </c>
      <c r="J84" s="90">
        <v>816262.8</v>
      </c>
      <c r="K84" s="90">
        <v>529721.38</v>
      </c>
    </row>
    <row r="85" spans="3:11" x14ac:dyDescent="0.3">
      <c r="E85" s="11" t="s">
        <v>3</v>
      </c>
      <c r="F85" s="90">
        <v>971805.63</v>
      </c>
      <c r="G85" s="90">
        <v>560192.13</v>
      </c>
      <c r="H85" s="90">
        <v>514394.26</v>
      </c>
      <c r="I85" s="90">
        <v>287063</v>
      </c>
      <c r="J85" s="90">
        <v>284681</v>
      </c>
      <c r="K85" s="90">
        <v>65000</v>
      </c>
    </row>
    <row r="86" spans="3:11" x14ac:dyDescent="0.3">
      <c r="E86" s="11" t="s">
        <v>4</v>
      </c>
      <c r="F86" s="90">
        <v>373115.54</v>
      </c>
      <c r="G86" s="90">
        <v>1177819.33</v>
      </c>
      <c r="H86" s="90">
        <v>313365.40999999997</v>
      </c>
      <c r="I86" s="90">
        <v>224336.92</v>
      </c>
      <c r="J86" s="90">
        <v>198488.45</v>
      </c>
      <c r="K86" s="90">
        <v>115687.86</v>
      </c>
    </row>
    <row r="87" spans="3:11" x14ac:dyDescent="0.3">
      <c r="E87" s="11" t="s">
        <v>5</v>
      </c>
      <c r="F87" s="107">
        <v>0</v>
      </c>
      <c r="G87" s="90">
        <v>1220318.94</v>
      </c>
      <c r="H87" s="90">
        <v>252873.29</v>
      </c>
      <c r="I87" s="90">
        <v>321455.05</v>
      </c>
      <c r="J87" s="90">
        <v>333093.34999999998</v>
      </c>
      <c r="K87" s="90">
        <v>349033.52</v>
      </c>
    </row>
    <row r="88" spans="3:11" x14ac:dyDescent="0.3">
      <c r="E88" s="11" t="s">
        <v>6</v>
      </c>
      <c r="F88" s="90">
        <v>1563517.96</v>
      </c>
      <c r="G88" s="90">
        <v>2655144.94</v>
      </c>
      <c r="H88" s="90">
        <v>1649757.07</v>
      </c>
      <c r="I88" s="90">
        <v>1109481.78</v>
      </c>
      <c r="J88" s="90">
        <v>979513.47</v>
      </c>
      <c r="K88" s="90">
        <v>702144.9</v>
      </c>
    </row>
    <row r="89" spans="3:11" x14ac:dyDescent="0.3">
      <c r="E89" s="11" t="s">
        <v>7</v>
      </c>
      <c r="F89" s="90">
        <v>1216362.72</v>
      </c>
      <c r="G89" s="90">
        <v>896857.64</v>
      </c>
      <c r="H89" s="90">
        <v>781094.49</v>
      </c>
      <c r="I89" s="90">
        <v>681398.12</v>
      </c>
      <c r="J89" s="90">
        <v>465930.99</v>
      </c>
      <c r="K89" s="90">
        <v>173593.9</v>
      </c>
    </row>
    <row r="90" spans="3:11" x14ac:dyDescent="0.3">
      <c r="E90" s="11" t="s">
        <v>8</v>
      </c>
      <c r="F90" s="90">
        <v>347155.24</v>
      </c>
      <c r="G90" s="90">
        <v>99129.72</v>
      </c>
      <c r="H90" s="90">
        <v>489595.05</v>
      </c>
      <c r="I90" s="90">
        <v>203772.92</v>
      </c>
      <c r="J90" s="90">
        <v>251954.65</v>
      </c>
      <c r="K90" s="90">
        <v>234962.47</v>
      </c>
    </row>
    <row r="91" spans="3:11" x14ac:dyDescent="0.3">
      <c r="E91" s="11" t="s">
        <v>9</v>
      </c>
      <c r="F91" s="107">
        <v>0</v>
      </c>
      <c r="G91" s="90">
        <v>1659157.58</v>
      </c>
      <c r="H91" s="90">
        <v>379067.53</v>
      </c>
      <c r="I91" s="90">
        <v>224310.74</v>
      </c>
      <c r="J91" s="90">
        <v>261627.83</v>
      </c>
      <c r="K91" s="90">
        <v>293588.53000000003</v>
      </c>
    </row>
    <row r="92" spans="3:11" x14ac:dyDescent="0.3">
      <c r="E92" s="11" t="s">
        <v>10</v>
      </c>
      <c r="F92" s="90">
        <v>-218596.79</v>
      </c>
      <c r="G92" s="90">
        <v>303185.46000000002</v>
      </c>
      <c r="H92" s="90">
        <v>-569124.11</v>
      </c>
      <c r="I92" s="90">
        <v>-276626.81</v>
      </c>
      <c r="J92" s="90">
        <v>-163250.67000000001</v>
      </c>
      <c r="K92" s="90">
        <v>-172423.52</v>
      </c>
    </row>
    <row r="93" spans="3:11" x14ac:dyDescent="0.3">
      <c r="E93" s="11" t="s">
        <v>11</v>
      </c>
      <c r="F93" s="90">
        <v>602321.06999999995</v>
      </c>
      <c r="G93" s="90">
        <v>325811.15999999997</v>
      </c>
      <c r="H93" s="90">
        <v>266160.92</v>
      </c>
      <c r="I93" s="90">
        <v>285619.28000000003</v>
      </c>
      <c r="J93" s="90">
        <v>303392.56</v>
      </c>
      <c r="K93" s="90">
        <v>281301.43</v>
      </c>
    </row>
    <row r="94" spans="3:11" x14ac:dyDescent="0.3">
      <c r="E94" s="11" t="s">
        <v>12</v>
      </c>
      <c r="F94" s="90">
        <v>411780.03</v>
      </c>
      <c r="G94" s="90">
        <v>146596.98000000001</v>
      </c>
      <c r="H94" s="90">
        <v>179803.25</v>
      </c>
      <c r="I94" s="90">
        <v>175270.19</v>
      </c>
      <c r="J94" s="90">
        <v>170007.03</v>
      </c>
      <c r="K94" s="90">
        <v>197091.57</v>
      </c>
    </row>
    <row r="95" spans="3:11" x14ac:dyDescent="0.3">
      <c r="E95" s="11" t="s">
        <v>13</v>
      </c>
      <c r="F95" s="90">
        <v>190541.04</v>
      </c>
      <c r="G95" s="90">
        <v>179214.18</v>
      </c>
      <c r="H95" s="90">
        <v>86357.67</v>
      </c>
      <c r="I95" s="90">
        <v>110349.09</v>
      </c>
      <c r="J95" s="90">
        <v>133385.53</v>
      </c>
      <c r="K95" s="90">
        <v>84209.86</v>
      </c>
    </row>
    <row r="96" spans="3:11" x14ac:dyDescent="0.3">
      <c r="E96" s="11" t="s">
        <v>14</v>
      </c>
      <c r="F96" s="90">
        <v>268805.90999999997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-296861.65999999997</v>
      </c>
      <c r="G97" s="90">
        <v>482399.64</v>
      </c>
      <c r="H97" s="90">
        <v>-482766.44</v>
      </c>
      <c r="I97" s="90">
        <v>-166277.72</v>
      </c>
      <c r="J97" s="90">
        <v>-29865.14</v>
      </c>
      <c r="K97" s="90">
        <v>-88213.66</v>
      </c>
    </row>
    <row r="98" spans="5:11" x14ac:dyDescent="0.3">
      <c r="E98" s="11" t="s">
        <v>16</v>
      </c>
      <c r="F98" s="90">
        <v>1383.63</v>
      </c>
      <c r="G98" s="90">
        <v>1358.81</v>
      </c>
      <c r="H98" s="107">
        <v>131.53</v>
      </c>
      <c r="I98" s="107">
        <v>475.91</v>
      </c>
      <c r="J98" s="107">
        <v>401.33</v>
      </c>
      <c r="K98" s="90">
        <v>28896.82</v>
      </c>
    </row>
    <row r="99" spans="5:11" x14ac:dyDescent="0.3">
      <c r="E99" s="11" t="s">
        <v>17</v>
      </c>
      <c r="F99" s="90">
        <v>14506.18</v>
      </c>
      <c r="G99" s="90">
        <v>3492.55</v>
      </c>
      <c r="H99" s="90">
        <v>6920.85</v>
      </c>
      <c r="I99" s="90">
        <v>1464.21</v>
      </c>
      <c r="J99" s="90">
        <v>3117.87</v>
      </c>
      <c r="K99" s="90">
        <v>1942.74</v>
      </c>
    </row>
    <row r="100" spans="5:11" x14ac:dyDescent="0.3">
      <c r="E100" s="11" t="s">
        <v>18</v>
      </c>
      <c r="F100" s="90">
        <v>1849.07</v>
      </c>
      <c r="G100" s="90">
        <v>4686.68</v>
      </c>
      <c r="H100" s="107">
        <v>9.2799999999999994</v>
      </c>
      <c r="I100" s="90">
        <v>1885.08</v>
      </c>
      <c r="J100" s="90">
        <v>8460.76</v>
      </c>
      <c r="K100" s="90">
        <v>11351.79</v>
      </c>
    </row>
    <row r="101" spans="5:11" x14ac:dyDescent="0.3">
      <c r="E101" s="11" t="s">
        <v>19</v>
      </c>
      <c r="F101" s="107">
        <v>15.02</v>
      </c>
      <c r="G101" s="107">
        <v>0</v>
      </c>
      <c r="H101" s="107">
        <v>168.02</v>
      </c>
      <c r="I101" s="107">
        <v>222</v>
      </c>
      <c r="J101" s="107">
        <v>0</v>
      </c>
      <c r="K101" s="107">
        <v>0</v>
      </c>
    </row>
    <row r="102" spans="5:11" x14ac:dyDescent="0.3">
      <c r="E102" s="11" t="s">
        <v>20</v>
      </c>
      <c r="F102" s="90">
        <v>-308150.15999999997</v>
      </c>
      <c r="G102" s="90">
        <v>484952.58</v>
      </c>
      <c r="H102" s="90">
        <v>-489714.5</v>
      </c>
      <c r="I102" s="90">
        <v>-165602.94</v>
      </c>
      <c r="J102" s="90">
        <v>-24120.92</v>
      </c>
      <c r="K102" s="90">
        <v>-49907.79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-308150.15999999997</v>
      </c>
      <c r="G104" s="90">
        <v>484952.58</v>
      </c>
      <c r="H104" s="90">
        <v>-489714.5</v>
      </c>
      <c r="I104" s="90">
        <v>-165602.94</v>
      </c>
      <c r="J104" s="90">
        <v>-24120.92</v>
      </c>
      <c r="K104" s="90">
        <v>-49907.79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39413.25</v>
      </c>
      <c r="G108" s="90">
        <v>47864.25</v>
      </c>
      <c r="H108" s="90">
        <v>56315.25</v>
      </c>
      <c r="I108" s="90">
        <v>64766.25</v>
      </c>
      <c r="J108" s="90">
        <v>61337.25</v>
      </c>
      <c r="K108" s="107">
        <v>0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39413.25</v>
      </c>
      <c r="G110" s="90">
        <v>47864.25</v>
      </c>
      <c r="H110" s="90">
        <v>56315.25</v>
      </c>
      <c r="I110" s="90">
        <v>64766.25</v>
      </c>
      <c r="J110" s="90">
        <v>61337.25</v>
      </c>
      <c r="K110" s="107">
        <v>0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1160725.94</v>
      </c>
      <c r="G114" s="90">
        <v>1353364.29</v>
      </c>
      <c r="H114" s="90">
        <v>821884.44</v>
      </c>
      <c r="I114" s="90">
        <v>1310707.44</v>
      </c>
      <c r="J114" s="90">
        <v>1495021.92</v>
      </c>
      <c r="K114" s="90">
        <v>1569061.83</v>
      </c>
    </row>
    <row r="115" spans="5:11" x14ac:dyDescent="0.3">
      <c r="E115" s="8" t="s">
        <v>34</v>
      </c>
      <c r="F115" s="107">
        <v>460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139719.23000000001</v>
      </c>
      <c r="G116" s="90">
        <v>23119.07</v>
      </c>
      <c r="H116" s="90">
        <v>11089.27</v>
      </c>
      <c r="I116" s="90">
        <v>13501.76</v>
      </c>
      <c r="J116" s="90">
        <v>8812.7000000000007</v>
      </c>
      <c r="K116" s="90">
        <v>33153.379999999997</v>
      </c>
    </row>
    <row r="117" spans="5:11" ht="15" customHeight="1" x14ac:dyDescent="0.3">
      <c r="E117" s="8" t="s">
        <v>36</v>
      </c>
      <c r="F117" s="90">
        <v>1016559.94</v>
      </c>
      <c r="G117" s="90">
        <v>1324350.6299999999</v>
      </c>
      <c r="H117" s="90">
        <v>806949.47</v>
      </c>
      <c r="I117" s="90">
        <v>1295087.1299999999</v>
      </c>
      <c r="J117" s="90">
        <v>1482166.02</v>
      </c>
      <c r="K117" s="90">
        <v>1534983.7</v>
      </c>
    </row>
    <row r="118" spans="5:11" ht="15" customHeight="1" x14ac:dyDescent="0.3">
      <c r="E118" s="8" t="s">
        <v>37</v>
      </c>
      <c r="F118" s="90">
        <v>3986.77</v>
      </c>
      <c r="G118" s="90">
        <v>5894.59</v>
      </c>
      <c r="H118" s="90">
        <v>3845.7</v>
      </c>
      <c r="I118" s="90">
        <v>2118.5500000000002</v>
      </c>
      <c r="J118" s="90">
        <v>4043.2</v>
      </c>
      <c r="K118" s="107">
        <v>924.75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1200139.19</v>
      </c>
      <c r="G120" s="90">
        <v>1401228.54</v>
      </c>
      <c r="H120" s="90">
        <v>878199.69</v>
      </c>
      <c r="I120" s="90">
        <v>1375473.69</v>
      </c>
      <c r="J120" s="90">
        <v>1556359.17</v>
      </c>
      <c r="K120" s="90">
        <v>1569061.83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1045738.07</v>
      </c>
      <c r="G122" s="90">
        <v>1353888.23</v>
      </c>
      <c r="H122" s="90">
        <v>868935.65</v>
      </c>
      <c r="I122" s="90">
        <v>1358650.15</v>
      </c>
      <c r="J122" s="90">
        <v>1524253.09</v>
      </c>
      <c r="K122" s="90">
        <v>1548374.01</v>
      </c>
    </row>
    <row r="123" spans="5:11" x14ac:dyDescent="0.3">
      <c r="E123" s="8" t="s">
        <v>42</v>
      </c>
      <c r="F123" s="90">
        <v>50000</v>
      </c>
      <c r="G123" s="90">
        <v>50000</v>
      </c>
      <c r="H123" s="90">
        <v>50000</v>
      </c>
      <c r="I123" s="90">
        <v>50000</v>
      </c>
      <c r="J123" s="90">
        <v>50000</v>
      </c>
      <c r="K123" s="90">
        <v>50000</v>
      </c>
    </row>
    <row r="124" spans="5:11" x14ac:dyDescent="0.3">
      <c r="E124" s="8" t="s">
        <v>43</v>
      </c>
      <c r="F124" s="90">
        <v>1303888.23</v>
      </c>
      <c r="G124" s="90">
        <v>818935.65</v>
      </c>
      <c r="H124" s="90">
        <v>1308650.1499999999</v>
      </c>
      <c r="I124" s="90">
        <v>1474253.09</v>
      </c>
      <c r="J124" s="90">
        <v>1498374.01</v>
      </c>
      <c r="K124" s="90">
        <v>1548281.8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-308150.15999999997</v>
      </c>
      <c r="G126" s="90">
        <v>484952.58</v>
      </c>
      <c r="H126" s="90">
        <v>-489714.5</v>
      </c>
      <c r="I126" s="90">
        <v>-165602.94</v>
      </c>
      <c r="J126" s="90">
        <v>-24120.92</v>
      </c>
      <c r="K126" s="90">
        <v>-49907.79</v>
      </c>
    </row>
    <row r="127" spans="5:11" ht="15" customHeight="1" x14ac:dyDescent="0.3">
      <c r="E127" s="18" t="s">
        <v>91</v>
      </c>
      <c r="F127" s="90">
        <v>154401.12</v>
      </c>
      <c r="G127" s="90">
        <v>47340.31</v>
      </c>
      <c r="H127" s="90">
        <v>9264.0400000000009</v>
      </c>
      <c r="I127" s="90">
        <v>16823.54</v>
      </c>
      <c r="J127" s="90">
        <v>32106.080000000002</v>
      </c>
      <c r="K127" s="90">
        <v>20687.82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74878.509999999995</v>
      </c>
      <c r="G130" s="90">
        <v>47340.31</v>
      </c>
      <c r="H130" s="90">
        <v>9264.0400000000009</v>
      </c>
      <c r="I130" s="90">
        <v>16823.54</v>
      </c>
      <c r="J130" s="90">
        <v>32106.080000000002</v>
      </c>
      <c r="K130" s="90">
        <v>20687.82</v>
      </c>
    </row>
    <row r="131" spans="5:11" ht="15" customHeight="1" x14ac:dyDescent="0.3">
      <c r="E131" s="17" t="s">
        <v>88</v>
      </c>
      <c r="F131" s="90">
        <v>79522.61</v>
      </c>
      <c r="G131" s="107">
        <v>0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3">
      <c r="E132" s="7" t="s">
        <v>47</v>
      </c>
      <c r="F132" s="90">
        <v>1200139.19</v>
      </c>
      <c r="G132" s="90">
        <v>1401228.54</v>
      </c>
      <c r="H132" s="90">
        <v>878199.69</v>
      </c>
      <c r="I132" s="90">
        <v>1375473.69</v>
      </c>
      <c r="J132" s="90">
        <v>1556359.17</v>
      </c>
      <c r="K132" s="90">
        <v>1569061.83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A8280-D716-4C16-9E5A-89A7F76E83D4}">
  <sheetPr>
    <tabColor theme="5" tint="0.79998168889431442"/>
  </sheetPr>
  <dimension ref="A1:L177"/>
  <sheetViews>
    <sheetView topLeftCell="A157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427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9.5271180557813491</v>
      </c>
      <c r="B4" s="139">
        <f>MAX(F4:K4)</f>
        <v>150.98930243737317</v>
      </c>
      <c r="C4" s="155">
        <f>AVERAGE(F4:K4)</f>
        <v>61.369988372374962</v>
      </c>
      <c r="D4" s="156">
        <f>MEDIAN(F4:K4)</f>
        <v>39.153206106920926</v>
      </c>
      <c r="E4" s="47" t="s">
        <v>364</v>
      </c>
      <c r="F4" s="71">
        <f>SUM(F9:F12)/SUM(F13:F15)</f>
        <v>150.98930243737317</v>
      </c>
      <c r="G4" s="71">
        <f t="shared" ref="G4:K4" si="0">SUM(G9:G12)/SUM(G13:G15)</f>
        <v>101.94007476017804</v>
      </c>
      <c r="H4" s="71">
        <f t="shared" si="0"/>
        <v>9.5271180557813491</v>
      </c>
      <c r="I4" s="71">
        <f t="shared" si="0"/>
        <v>28.1145898484484</v>
      </c>
      <c r="J4" s="71">
        <f t="shared" si="0"/>
        <v>27.457022767075308</v>
      </c>
      <c r="K4" s="71">
        <f t="shared" si="0"/>
        <v>50.191822365393456</v>
      </c>
    </row>
    <row r="5" spans="1:11" s="43" customFormat="1" ht="13.2" x14ac:dyDescent="0.25">
      <c r="A5" s="139">
        <f t="shared" ref="A5:A7" si="1">MIN(F5:K5)</f>
        <v>9.5271180557813491</v>
      </c>
      <c r="B5" s="139">
        <f t="shared" ref="B5:B7" si="2">MAX(F5:K5)</f>
        <v>150.98930243737317</v>
      </c>
      <c r="C5" s="155">
        <f t="shared" ref="C5:C7" si="3">AVERAGEIF(F5:K5,"&gt;0")</f>
        <v>61.369988372374962</v>
      </c>
      <c r="D5" s="156">
        <f t="shared" ref="D5:D7" si="4">_xlfn.AGGREGATE(12,6,F5:K5)</f>
        <v>39.153206106920926</v>
      </c>
      <c r="E5" s="47" t="s">
        <v>363</v>
      </c>
      <c r="F5" s="71">
        <f t="shared" ref="F5:K5" si="5">SUM(F9:F12)/F14</f>
        <v>150.98930243737317</v>
      </c>
      <c r="G5" s="71">
        <f t="shared" si="5"/>
        <v>101.94007476017804</v>
      </c>
      <c r="H5" s="71">
        <f t="shared" si="5"/>
        <v>9.5271180557813491</v>
      </c>
      <c r="I5" s="71">
        <f t="shared" si="5"/>
        <v>28.1145898484484</v>
      </c>
      <c r="J5" s="71">
        <f t="shared" si="5"/>
        <v>27.457022767075308</v>
      </c>
      <c r="K5" s="71">
        <f t="shared" si="5"/>
        <v>50.191822365393456</v>
      </c>
    </row>
    <row r="6" spans="1:11" s="43" customFormat="1" ht="13.2" x14ac:dyDescent="0.25">
      <c r="A6" s="139">
        <f t="shared" si="1"/>
        <v>9.5271180557813491</v>
      </c>
      <c r="B6" s="139">
        <f t="shared" si="2"/>
        <v>150.98930243737317</v>
      </c>
      <c r="C6" s="155">
        <f t="shared" si="3"/>
        <v>61.369988372374962</v>
      </c>
      <c r="D6" s="156">
        <f t="shared" si="4"/>
        <v>39.153206106920926</v>
      </c>
      <c r="E6" s="47" t="s">
        <v>365</v>
      </c>
      <c r="F6" s="71">
        <f t="shared" ref="F6:K6" si="6">SUM(F10:F11)/F14</f>
        <v>150.98930243737317</v>
      </c>
      <c r="G6" s="71">
        <f t="shared" si="6"/>
        <v>101.94007476017804</v>
      </c>
      <c r="H6" s="71">
        <f t="shared" si="6"/>
        <v>9.5271180557813491</v>
      </c>
      <c r="I6" s="71">
        <f t="shared" si="6"/>
        <v>28.1145898484484</v>
      </c>
      <c r="J6" s="71">
        <f t="shared" si="6"/>
        <v>27.457022767075308</v>
      </c>
      <c r="K6" s="71">
        <f t="shared" si="6"/>
        <v>50.191822365393456</v>
      </c>
    </row>
    <row r="7" spans="1:11" s="43" customFormat="1" ht="13.8" thickBot="1" x14ac:dyDescent="0.3">
      <c r="A7" s="139">
        <f t="shared" si="1"/>
        <v>9.3783940752638539</v>
      </c>
      <c r="B7" s="139">
        <f t="shared" si="2"/>
        <v>142.21936106570425</v>
      </c>
      <c r="C7" s="155">
        <f t="shared" si="3"/>
        <v>59.047964611162023</v>
      </c>
      <c r="D7" s="156">
        <f t="shared" si="4"/>
        <v>37.496595692249919</v>
      </c>
      <c r="E7" s="49" t="s">
        <v>366</v>
      </c>
      <c r="F7" s="73">
        <f t="shared" ref="F7:K7" si="7">F11/F14</f>
        <v>142.21936106570425</v>
      </c>
      <c r="G7" s="73">
        <f t="shared" si="7"/>
        <v>100.76471621447558</v>
      </c>
      <c r="H7" s="73">
        <f t="shared" si="7"/>
        <v>9.3783940752638539</v>
      </c>
      <c r="I7" s="73">
        <f t="shared" si="7"/>
        <v>27.104654799133993</v>
      </c>
      <c r="J7" s="73">
        <f t="shared" si="7"/>
        <v>26.932124927028607</v>
      </c>
      <c r="K7" s="73">
        <f t="shared" si="7"/>
        <v>47.888536585365848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 t="str">
        <f>F115</f>
        <v>0,00</v>
      </c>
      <c r="G9" s="76" t="str">
        <f t="shared" ref="G9:K12" si="8">G115</f>
        <v>0,00</v>
      </c>
      <c r="H9" s="76" t="str">
        <f t="shared" si="8"/>
        <v>0,00</v>
      </c>
      <c r="I9" s="76" t="str">
        <f t="shared" si="8"/>
        <v>0,00</v>
      </c>
      <c r="J9" s="76" t="str">
        <f t="shared" si="8"/>
        <v>0,00</v>
      </c>
      <c r="K9" s="76" t="str">
        <f t="shared" si="8"/>
        <v>0,00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69691.83</v>
      </c>
      <c r="G10" s="76">
        <f t="shared" si="8"/>
        <v>9033.7000000000007</v>
      </c>
      <c r="H10" s="76">
        <f t="shared" si="8"/>
        <v>3659.3</v>
      </c>
      <c r="I10" s="76">
        <f t="shared" si="8"/>
        <v>4198.3</v>
      </c>
      <c r="J10" s="76">
        <f t="shared" si="8"/>
        <v>1798.3</v>
      </c>
      <c r="K10" s="76">
        <f t="shared" si="8"/>
        <v>5005.04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1130170.33</v>
      </c>
      <c r="G11" s="76">
        <f t="shared" si="8"/>
        <v>774468.54</v>
      </c>
      <c r="H11" s="76">
        <f t="shared" si="8"/>
        <v>230752.01</v>
      </c>
      <c r="I11" s="76">
        <f t="shared" si="8"/>
        <v>112674.05</v>
      </c>
      <c r="J11" s="76">
        <f t="shared" si="8"/>
        <v>92269.46</v>
      </c>
      <c r="K11" s="76">
        <f t="shared" si="8"/>
        <v>104061.79</v>
      </c>
    </row>
    <row r="12" spans="1:11" s="43" customFormat="1" ht="13.2" x14ac:dyDescent="0.25">
      <c r="C12" s="79"/>
      <c r="D12" s="79"/>
      <c r="E12" s="43" t="s">
        <v>290</v>
      </c>
      <c r="F12" s="76" t="str">
        <f>F118</f>
        <v>0,00</v>
      </c>
      <c r="G12" s="76" t="str">
        <f t="shared" si="8"/>
        <v>0,00</v>
      </c>
      <c r="H12" s="76" t="str">
        <f t="shared" si="8"/>
        <v>0,00</v>
      </c>
      <c r="I12" s="76" t="str">
        <f t="shared" si="8"/>
        <v>0,00</v>
      </c>
      <c r="J12" s="76" t="str">
        <f t="shared" si="8"/>
        <v>0,00</v>
      </c>
      <c r="K12" s="76" t="str">
        <f t="shared" si="8"/>
        <v>0,00</v>
      </c>
    </row>
    <row r="13" spans="1:11" s="43" customFormat="1" ht="13.2" x14ac:dyDescent="0.25">
      <c r="C13" s="79"/>
      <c r="D13" s="79"/>
      <c r="E13" s="43" t="s">
        <v>310</v>
      </c>
      <c r="F13" s="76" t="str">
        <f>F128</f>
        <v>0,00</v>
      </c>
      <c r="G13" s="76" t="str">
        <f t="shared" ref="G13:K13" si="9">G128</f>
        <v>0,00</v>
      </c>
      <c r="H13" s="76" t="str">
        <f t="shared" si="9"/>
        <v>0,00</v>
      </c>
      <c r="I13" s="76" t="str">
        <f t="shared" si="9"/>
        <v>0,00</v>
      </c>
      <c r="J13" s="76" t="str">
        <f t="shared" si="9"/>
        <v>0,00</v>
      </c>
      <c r="K13" s="76" t="str">
        <f t="shared" si="9"/>
        <v>0,00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7946.67</v>
      </c>
      <c r="G14" s="76">
        <f t="shared" ref="G14:K15" si="10">G130</f>
        <v>7685.91</v>
      </c>
      <c r="H14" s="76">
        <f t="shared" si="10"/>
        <v>24604.639999999999</v>
      </c>
      <c r="I14" s="76">
        <f t="shared" si="10"/>
        <v>4157</v>
      </c>
      <c r="J14" s="76">
        <f t="shared" si="10"/>
        <v>3426</v>
      </c>
      <c r="K14" s="76">
        <f t="shared" si="10"/>
        <v>2173</v>
      </c>
    </row>
    <row r="15" spans="1:11" s="43" customFormat="1" ht="13.2" x14ac:dyDescent="0.25">
      <c r="C15" s="79"/>
      <c r="D15" s="79"/>
      <c r="E15" s="43" t="s">
        <v>362</v>
      </c>
      <c r="F15" s="76" t="str">
        <f>F131</f>
        <v>0,00</v>
      </c>
      <c r="G15" s="76" t="str">
        <f t="shared" si="10"/>
        <v>0,00</v>
      </c>
      <c r="H15" s="76" t="str">
        <f t="shared" si="10"/>
        <v>0,00</v>
      </c>
      <c r="I15" s="76" t="str">
        <f t="shared" si="10"/>
        <v>0,00</v>
      </c>
      <c r="J15" s="76" t="str">
        <f t="shared" si="10"/>
        <v>0,00</v>
      </c>
      <c r="K15" s="76" t="str">
        <f t="shared" si="10"/>
        <v>0,00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2.0666511018627625</v>
      </c>
      <c r="B19" s="152">
        <f t="shared" ref="B19:B25" si="12">MAX(F19:K19)</f>
        <v>375.62784923213229</v>
      </c>
      <c r="C19" s="156">
        <f>AVERAGE(F19:K19)</f>
        <v>81.467946240391925</v>
      </c>
      <c r="D19" s="156">
        <f>MEDIAN(F19:K19)</f>
        <v>27.974052745345851</v>
      </c>
      <c r="E19" s="47" t="s">
        <v>293</v>
      </c>
      <c r="F19" s="71">
        <f>F28/(F27/365)</f>
        <v>375.62784923213229</v>
      </c>
      <c r="G19" s="71">
        <f t="shared" ref="G19:K19" si="13">G28/(G27/365)</f>
        <v>2.0666511018627625</v>
      </c>
      <c r="H19" s="71">
        <f t="shared" si="13"/>
        <v>19.058854166666666</v>
      </c>
      <c r="I19" s="71">
        <f t="shared" si="13"/>
        <v>36.889251324025039</v>
      </c>
      <c r="J19" s="71">
        <f t="shared" si="13"/>
        <v>14.5216703539823</v>
      </c>
      <c r="K19" s="71">
        <f t="shared" si="13"/>
        <v>40.643401263682478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1.7583154599242861</v>
      </c>
      <c r="B21" s="152">
        <f t="shared" si="12"/>
        <v>128.14916666666667</v>
      </c>
      <c r="C21" s="156">
        <f t="shared" si="14"/>
        <v>42.429444896118127</v>
      </c>
      <c r="D21" s="156">
        <f t="shared" si="15"/>
        <v>32.096034049705793</v>
      </c>
      <c r="E21" s="47" t="s">
        <v>368</v>
      </c>
      <c r="F21" s="71">
        <f>F30/(F27/365)</f>
        <v>42.831283963378617</v>
      </c>
      <c r="G21" s="71">
        <f t="shared" ref="G21:K21" si="17">G30/(G27/365)</f>
        <v>1.7583154599242861</v>
      </c>
      <c r="H21" s="71">
        <f t="shared" si="17"/>
        <v>128.14916666666667</v>
      </c>
      <c r="I21" s="71">
        <f t="shared" si="17"/>
        <v>36.526360134809821</v>
      </c>
      <c r="J21" s="71">
        <f t="shared" si="17"/>
        <v>27.665707964601769</v>
      </c>
      <c r="K21" s="71">
        <f t="shared" si="17"/>
        <v>17.645835187327577</v>
      </c>
    </row>
    <row r="22" spans="1:11" s="43" customFormat="1" ht="13.2" x14ac:dyDescent="0.25">
      <c r="A22" s="152">
        <f t="shared" si="11"/>
        <v>-109.09031250000001</v>
      </c>
      <c r="B22" s="152">
        <f t="shared" si="12"/>
        <v>332.79656526875368</v>
      </c>
      <c r="C22" s="156">
        <f t="shared" si="14"/>
        <v>39.038501344273797</v>
      </c>
      <c r="D22" s="156">
        <f t="shared" si="15"/>
        <v>0.33561341557684765</v>
      </c>
      <c r="E22" s="47" t="s">
        <v>294</v>
      </c>
      <c r="F22" s="71">
        <f>F19+F20-F21</f>
        <v>332.79656526875368</v>
      </c>
      <c r="G22" s="71">
        <f t="shared" ref="G22:K22" si="18">G19+G20-G21</f>
        <v>0.3083356419384764</v>
      </c>
      <c r="H22" s="71">
        <f t="shared" si="18"/>
        <v>-109.09031250000001</v>
      </c>
      <c r="I22" s="71">
        <f t="shared" si="18"/>
        <v>0.3628911892152189</v>
      </c>
      <c r="J22" s="71">
        <f t="shared" si="18"/>
        <v>-13.144037610619469</v>
      </c>
      <c r="K22" s="71">
        <f t="shared" si="18"/>
        <v>22.9975660763549</v>
      </c>
    </row>
    <row r="23" spans="1:11" s="43" customFormat="1" ht="13.2" x14ac:dyDescent="0.25">
      <c r="A23" s="152">
        <f t="shared" si="11"/>
        <v>5.632620839512692E-2</v>
      </c>
      <c r="B23" s="152">
        <f t="shared" si="12"/>
        <v>2.0294573802756504</v>
      </c>
      <c r="C23" s="156">
        <f t="shared" si="14"/>
        <v>0.5983340861120291</v>
      </c>
      <c r="D23" s="156">
        <f t="shared" si="15"/>
        <v>0.37252191915050276</v>
      </c>
      <c r="E23" s="47" t="s">
        <v>295</v>
      </c>
      <c r="F23" s="71">
        <f>F27/F31</f>
        <v>5.632620839512692E-2</v>
      </c>
      <c r="G23" s="71">
        <f t="shared" ref="G23:K23" si="19">G27/G31</f>
        <v>2.0294573802756504</v>
      </c>
      <c r="H23" s="71">
        <f t="shared" si="19"/>
        <v>0.29531178633248339</v>
      </c>
      <c r="I23" s="71">
        <f t="shared" si="19"/>
        <v>0.34614327315045623</v>
      </c>
      <c r="J23" s="71">
        <f t="shared" si="19"/>
        <v>0.46386530336790838</v>
      </c>
      <c r="K23" s="71">
        <f t="shared" si="19"/>
        <v>0.39890056515054928</v>
      </c>
    </row>
    <row r="24" spans="1:11" s="43" customFormat="1" ht="13.2" x14ac:dyDescent="0.25">
      <c r="A24" s="152">
        <f t="shared" si="11"/>
        <v>12.441044263855982</v>
      </c>
      <c r="B24" s="152">
        <f t="shared" si="12"/>
        <v>600.1113351187073</v>
      </c>
      <c r="C24" s="156">
        <f t="shared" si="14"/>
        <v>115.22771270149453</v>
      </c>
      <c r="D24" s="156">
        <f t="shared" si="15"/>
        <v>18.792081755063364</v>
      </c>
      <c r="E24" s="121" t="s">
        <v>369</v>
      </c>
      <c r="F24" s="71">
        <f>F27/F32</f>
        <v>27.982546031536149</v>
      </c>
      <c r="G24" s="71">
        <f t="shared" ref="G24:K24" si="20">G27/G32</f>
        <v>600.1113351187073</v>
      </c>
      <c r="H24" s="71">
        <f t="shared" si="20"/>
        <v>24.188872014358694</v>
      </c>
      <c r="I24" s="71">
        <f t="shared" si="20"/>
        <v>13.247187284741178</v>
      </c>
      <c r="J24" s="71">
        <f t="shared" si="20"/>
        <v>13.395291495768035</v>
      </c>
      <c r="K24" s="71">
        <f t="shared" si="20"/>
        <v>12.441044263855982</v>
      </c>
    </row>
    <row r="25" spans="1:11" s="43" customFormat="1" ht="13.8" thickBot="1" x14ac:dyDescent="0.3">
      <c r="A25" s="152">
        <f t="shared" si="11"/>
        <v>5.6439816386908981E-2</v>
      </c>
      <c r="B25" s="152">
        <f t="shared" si="12"/>
        <v>2.0363438909887481</v>
      </c>
      <c r="C25" s="156">
        <f t="shared" si="14"/>
        <v>0.60663248317667828</v>
      </c>
      <c r="D25" s="156">
        <f t="shared" si="15"/>
        <v>0.38377240805700119</v>
      </c>
      <c r="E25" s="49" t="s">
        <v>296</v>
      </c>
      <c r="F25" s="73">
        <f>F27/F33</f>
        <v>5.6439816386908981E-2</v>
      </c>
      <c r="G25" s="73">
        <f t="shared" ref="G25:K25" si="21">G27/G33</f>
        <v>2.0363438909887481</v>
      </c>
      <c r="H25" s="73">
        <f t="shared" si="21"/>
        <v>0.29896168405867446</v>
      </c>
      <c r="I25" s="73">
        <f t="shared" si="21"/>
        <v>0.35543051885240606</v>
      </c>
      <c r="J25" s="73">
        <f t="shared" si="21"/>
        <v>0.4805046915117358</v>
      </c>
      <c r="K25" s="73">
        <f t="shared" si="21"/>
        <v>0.41211429726159637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67720</v>
      </c>
      <c r="G27" s="76">
        <f t="shared" ref="G27:K27" si="22">G93+G86</f>
        <v>1595480</v>
      </c>
      <c r="H27" s="76">
        <f t="shared" si="22"/>
        <v>70080</v>
      </c>
      <c r="I27" s="76">
        <f t="shared" si="22"/>
        <v>41540</v>
      </c>
      <c r="J27" s="76">
        <f t="shared" si="22"/>
        <v>45200</v>
      </c>
      <c r="K27" s="76">
        <f t="shared" si="22"/>
        <v>44948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69691.83</v>
      </c>
      <c r="G28" s="76">
        <f t="shared" ref="G28:K28" si="23">G116</f>
        <v>9033.7000000000007</v>
      </c>
      <c r="H28" s="76">
        <f t="shared" si="23"/>
        <v>3659.3</v>
      </c>
      <c r="I28" s="76">
        <f t="shared" si="23"/>
        <v>4198.3</v>
      </c>
      <c r="J28" s="76">
        <f t="shared" si="23"/>
        <v>1798.3</v>
      </c>
      <c r="K28" s="76">
        <f t="shared" si="23"/>
        <v>5005.04</v>
      </c>
    </row>
    <row r="29" spans="1:11" s="43" customFormat="1" ht="13.2" x14ac:dyDescent="0.25">
      <c r="C29" s="79"/>
      <c r="D29" s="79"/>
      <c r="E29" s="43" t="s">
        <v>306</v>
      </c>
      <c r="F29" s="76" t="str">
        <f>F115</f>
        <v>0,00</v>
      </c>
      <c r="G29" s="76" t="str">
        <f t="shared" ref="G29:K29" si="24">G115</f>
        <v>0,00</v>
      </c>
      <c r="H29" s="76" t="str">
        <f t="shared" si="24"/>
        <v>0,00</v>
      </c>
      <c r="I29" s="76" t="str">
        <f t="shared" si="24"/>
        <v>0,00</v>
      </c>
      <c r="J29" s="76" t="str">
        <f t="shared" si="24"/>
        <v>0,00</v>
      </c>
      <c r="K29" s="76" t="str">
        <f t="shared" si="24"/>
        <v>0,00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7946.67</v>
      </c>
      <c r="G30" s="76">
        <f t="shared" ref="G30:K30" si="25">G130</f>
        <v>7685.91</v>
      </c>
      <c r="H30" s="76">
        <f t="shared" si="25"/>
        <v>24604.639999999999</v>
      </c>
      <c r="I30" s="76">
        <f t="shared" si="25"/>
        <v>4157</v>
      </c>
      <c r="J30" s="76">
        <f t="shared" si="25"/>
        <v>3426</v>
      </c>
      <c r="K30" s="76">
        <f t="shared" si="25"/>
        <v>2173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1202282.24</v>
      </c>
      <c r="G31" s="76">
        <f t="shared" ref="G31:K31" si="26">G120</f>
        <v>786160.88</v>
      </c>
      <c r="H31" s="76">
        <f t="shared" si="26"/>
        <v>237308.51</v>
      </c>
      <c r="I31" s="76">
        <f t="shared" si="26"/>
        <v>120008.11</v>
      </c>
      <c r="J31" s="76">
        <f t="shared" si="26"/>
        <v>97442.08</v>
      </c>
      <c r="K31" s="76">
        <f t="shared" si="26"/>
        <v>112679.71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2420.08</v>
      </c>
      <c r="G32" s="76">
        <f t="shared" ref="G32:K32" si="27">G108</f>
        <v>2658.64</v>
      </c>
      <c r="H32" s="76">
        <f t="shared" si="27"/>
        <v>2897.2</v>
      </c>
      <c r="I32" s="76">
        <f t="shared" si="27"/>
        <v>3135.76</v>
      </c>
      <c r="J32" s="76">
        <f t="shared" si="27"/>
        <v>3374.32</v>
      </c>
      <c r="K32" s="76">
        <f t="shared" si="27"/>
        <v>3612.88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1199862.1599999999</v>
      </c>
      <c r="G33" s="76">
        <f t="shared" ref="G33:K33" si="28">G114</f>
        <v>783502.24</v>
      </c>
      <c r="H33" s="76">
        <f t="shared" si="28"/>
        <v>234411.31</v>
      </c>
      <c r="I33" s="76">
        <f t="shared" si="28"/>
        <v>116872.35</v>
      </c>
      <c r="J33" s="76">
        <f t="shared" si="28"/>
        <v>94067.76</v>
      </c>
      <c r="K33" s="76">
        <f t="shared" si="28"/>
        <v>109066.83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6.6096543187729364E-3</v>
      </c>
      <c r="B37" s="139">
        <f t="shared" ref="B37:B41" si="30">MAX(F37:K37)</f>
        <v>0.10368208034343142</v>
      </c>
      <c r="C37" s="160">
        <f t="shared" ref="C37:C41" si="31">AVERAGE(F37:K37)</f>
        <v>3.4858611387535383E-2</v>
      </c>
      <c r="D37" s="160">
        <f t="shared" ref="D37:D41" si="32">MEDIAN(F37:K37)</f>
        <v>2.6962037646731274E-2</v>
      </c>
      <c r="E37" s="47" t="s">
        <v>370</v>
      </c>
      <c r="F37" s="119">
        <f>F43/F44*100%</f>
        <v>6.6096543187729364E-3</v>
      </c>
      <c r="G37" s="119">
        <f t="shared" ref="G37:K37" si="33">G43/G44*100%</f>
        <v>9.7765103753318268E-3</v>
      </c>
      <c r="H37" s="119">
        <f t="shared" si="33"/>
        <v>0.10368208034343142</v>
      </c>
      <c r="I37" s="119">
        <f t="shared" si="33"/>
        <v>3.4639325625576471E-2</v>
      </c>
      <c r="J37" s="119">
        <f t="shared" si="33"/>
        <v>3.5159347994213587E-2</v>
      </c>
      <c r="K37" s="119">
        <f t="shared" si="33"/>
        <v>1.928474966788608E-2</v>
      </c>
    </row>
    <row r="38" spans="1:11" s="43" customFormat="1" ht="13.2" x14ac:dyDescent="0.25">
      <c r="A38" s="139">
        <f t="shared" si="29"/>
        <v>6.6536325297587842E-3</v>
      </c>
      <c r="B38" s="139">
        <f t="shared" si="30"/>
        <v>0.11567556340183185</v>
      </c>
      <c r="C38" s="155">
        <f t="shared" si="31"/>
        <v>3.7364838714968478E-2</v>
      </c>
      <c r="D38" s="156">
        <f t="shared" si="32"/>
        <v>2.7773113657641998E-2</v>
      </c>
      <c r="E38" s="50" t="s">
        <v>298</v>
      </c>
      <c r="F38" s="122">
        <f>F43/F45</f>
        <v>6.6536325297587842E-3</v>
      </c>
      <c r="G38" s="122">
        <f t="shared" ref="G38:K38" si="34">G43/G45</f>
        <v>9.8730341965908037E-3</v>
      </c>
      <c r="H38" s="122">
        <f t="shared" si="34"/>
        <v>0.11567556340183185</v>
      </c>
      <c r="I38" s="122">
        <f t="shared" si="34"/>
        <v>3.5882263018455325E-2</v>
      </c>
      <c r="J38" s="122">
        <f t="shared" si="34"/>
        <v>3.6440574846345435E-2</v>
      </c>
      <c r="K38" s="122">
        <f t="shared" si="34"/>
        <v>1.9663964296828672E-2</v>
      </c>
    </row>
    <row r="39" spans="1:11" s="43" customFormat="1" ht="13.2" x14ac:dyDescent="0.25">
      <c r="A39" s="139">
        <f t="shared" si="29"/>
        <v>1.0066536325297588</v>
      </c>
      <c r="B39" s="139">
        <f t="shared" si="30"/>
        <v>1.1156755634018318</v>
      </c>
      <c r="C39" s="155">
        <f t="shared" si="31"/>
        <v>1.0373648387149685</v>
      </c>
      <c r="D39" s="156">
        <f t="shared" si="32"/>
        <v>1.027773113657642</v>
      </c>
      <c r="E39" s="50" t="s">
        <v>299</v>
      </c>
      <c r="F39" s="122">
        <f>F44/F45</f>
        <v>1.0066536325297588</v>
      </c>
      <c r="G39" s="122">
        <f t="shared" ref="G39:K39" si="35">G44/G45</f>
        <v>1.0098730341965909</v>
      </c>
      <c r="H39" s="122">
        <f t="shared" si="35"/>
        <v>1.1156755634018318</v>
      </c>
      <c r="I39" s="122">
        <f t="shared" si="35"/>
        <v>1.0358822630184554</v>
      </c>
      <c r="J39" s="122">
        <f t="shared" si="35"/>
        <v>1.0364405748463454</v>
      </c>
      <c r="K39" s="122">
        <f t="shared" si="35"/>
        <v>1.0196639642968286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-288.6141552511416</v>
      </c>
      <c r="B41" s="139">
        <f t="shared" si="30"/>
        <v>45738.35650767987</v>
      </c>
      <c r="C41" s="155">
        <f t="shared" si="31"/>
        <v>9371.9492052212408</v>
      </c>
      <c r="D41" s="156">
        <f t="shared" si="32"/>
        <v>642.35438996930952</v>
      </c>
      <c r="E41" s="51" t="s">
        <v>300</v>
      </c>
      <c r="F41" s="123">
        <f>(F47+F48)/F48</f>
        <v>642.35438996930952</v>
      </c>
      <c r="G41" s="123">
        <f t="shared" ref="G41:K41" si="37">(G47+G48)/G48</f>
        <v>45738.35650767987</v>
      </c>
      <c r="H41" s="123">
        <f t="shared" si="37"/>
        <v>700.95490351954891</v>
      </c>
      <c r="I41" s="171"/>
      <c r="J41" s="123">
        <f t="shared" si="37"/>
        <v>-288.6141552511416</v>
      </c>
      <c r="K41" s="123">
        <f t="shared" si="37"/>
        <v>66.694380188615568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7946.67</v>
      </c>
      <c r="G43" s="76">
        <f t="shared" ref="G43:K43" si="38">G129+G130</f>
        <v>7685.91</v>
      </c>
      <c r="H43" s="76">
        <f t="shared" si="38"/>
        <v>24604.639999999999</v>
      </c>
      <c r="I43" s="76">
        <f t="shared" si="38"/>
        <v>4157</v>
      </c>
      <c r="J43" s="76">
        <f t="shared" si="38"/>
        <v>3426</v>
      </c>
      <c r="K43" s="76">
        <f t="shared" si="38"/>
        <v>2173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1202282.24</v>
      </c>
      <c r="G44" s="76">
        <f t="shared" ref="G44:K44" si="39">G120</f>
        <v>786160.88</v>
      </c>
      <c r="H44" s="76">
        <f t="shared" si="39"/>
        <v>237308.51</v>
      </c>
      <c r="I44" s="76">
        <f t="shared" si="39"/>
        <v>120008.11</v>
      </c>
      <c r="J44" s="76">
        <f t="shared" si="39"/>
        <v>97442.08</v>
      </c>
      <c r="K44" s="76">
        <f t="shared" si="39"/>
        <v>112679.71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1194335.57</v>
      </c>
      <c r="G45" s="76">
        <f t="shared" ref="G45:K45" si="40">G122</f>
        <v>778474.97</v>
      </c>
      <c r="H45" s="76">
        <f t="shared" si="40"/>
        <v>212703.87</v>
      </c>
      <c r="I45" s="76">
        <f t="shared" si="40"/>
        <v>115851.11</v>
      </c>
      <c r="J45" s="76">
        <f t="shared" si="40"/>
        <v>94016.08</v>
      </c>
      <c r="K45" s="76">
        <f t="shared" si="40"/>
        <v>110506.71</v>
      </c>
    </row>
    <row r="46" spans="1:11" s="43" customFormat="1" ht="13.2" x14ac:dyDescent="0.25">
      <c r="C46" s="79"/>
      <c r="D46" s="79"/>
      <c r="E46" s="43" t="s">
        <v>312</v>
      </c>
      <c r="F46" s="76" t="str">
        <f>F129</f>
        <v>0,00</v>
      </c>
      <c r="G46" s="76" t="str">
        <f t="shared" ref="G46:K46" si="41">G129</f>
        <v>0,00</v>
      </c>
      <c r="H46" s="76" t="str">
        <f t="shared" si="41"/>
        <v>0,00</v>
      </c>
      <c r="I46" s="76" t="str">
        <f t="shared" si="41"/>
        <v>0,00</v>
      </c>
      <c r="J46" s="76" t="str">
        <f t="shared" si="41"/>
        <v>0,00</v>
      </c>
      <c r="K46" s="76" t="str">
        <f t="shared" si="41"/>
        <v>0,00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415860.6</v>
      </c>
      <c r="G47" s="76">
        <f t="shared" ref="G47:K47" si="42">G102</f>
        <v>565771.1</v>
      </c>
      <c r="H47" s="76">
        <f t="shared" si="42"/>
        <v>96852.76</v>
      </c>
      <c r="I47" s="76">
        <f t="shared" si="42"/>
        <v>21835.03</v>
      </c>
      <c r="J47" s="76">
        <f t="shared" si="42"/>
        <v>-16490.63</v>
      </c>
      <c r="K47" s="76">
        <f t="shared" si="42"/>
        <v>107066.73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648.41</v>
      </c>
      <c r="G48" s="76">
        <f t="shared" ref="G48:K48" si="43">G101</f>
        <v>12.37</v>
      </c>
      <c r="H48" s="76">
        <f t="shared" si="43"/>
        <v>138.37</v>
      </c>
      <c r="I48" s="76">
        <f t="shared" si="43"/>
        <v>0</v>
      </c>
      <c r="J48" s="76">
        <f t="shared" si="43"/>
        <v>56.94</v>
      </c>
      <c r="K48" s="76">
        <f t="shared" si="43"/>
        <v>1629.77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-0.4795452601415649</v>
      </c>
      <c r="B52" s="139">
        <f t="shared" ref="B52:B63" si="45">MAX(F52:K52)</f>
        <v>10.998455442741319</v>
      </c>
      <c r="C52" s="160">
        <f t="shared" ref="C52:C63" si="46">AVERAGE(F52:K52)</f>
        <v>3.6957264092649798</v>
      </c>
      <c r="D52" s="160">
        <f t="shared" ref="D52:D63" si="47">MEDIAN(F52:K52)</f>
        <v>2.2681562765014238</v>
      </c>
      <c r="E52" s="50" t="s">
        <v>350</v>
      </c>
      <c r="F52" s="119">
        <f t="shared" ref="F52:K52" si="48">(F65/(F70+F71))*100%</f>
        <v>6.5385912087912086</v>
      </c>
      <c r="G52" s="119">
        <f t="shared" si="48"/>
        <v>10.998455442741319</v>
      </c>
      <c r="H52" s="119">
        <f t="shared" si="48"/>
        <v>1.735841426267694</v>
      </c>
      <c r="I52" s="119">
        <f t="shared" si="48"/>
        <v>0.58054451119606776</v>
      </c>
      <c r="J52" s="119">
        <f t="shared" si="48"/>
        <v>-0.4795452601415649</v>
      </c>
      <c r="K52" s="120">
        <f t="shared" si="48"/>
        <v>2.8004711267351539</v>
      </c>
    </row>
    <row r="53" spans="1:11" s="43" customFormat="1" ht="13.2" x14ac:dyDescent="0.25">
      <c r="A53" s="139">
        <f t="shared" si="44"/>
        <v>0.1015287284144427</v>
      </c>
      <c r="B53" s="139">
        <f t="shared" si="45"/>
        <v>0.26572520716385994</v>
      </c>
      <c r="C53" s="160">
        <f t="shared" si="46"/>
        <v>0.16978484863380505</v>
      </c>
      <c r="D53" s="160">
        <f t="shared" si="47"/>
        <v>0.16086395337481041</v>
      </c>
      <c r="E53" s="50" t="s">
        <v>351</v>
      </c>
      <c r="F53" s="119">
        <f>(F66/F70)*100%</f>
        <v>0.1015287284144427</v>
      </c>
      <c r="G53" s="119">
        <f t="shared" ref="G53:K53" si="49">(G66/G70)*100%</f>
        <v>0.15414477524810274</v>
      </c>
      <c r="H53" s="119">
        <f t="shared" si="49"/>
        <v>0.16041032073105177</v>
      </c>
      <c r="I53" s="119">
        <f t="shared" si="49"/>
        <v>0.16131758601856908</v>
      </c>
      <c r="J53" s="119">
        <f t="shared" si="49"/>
        <v>0.26572520716385994</v>
      </c>
      <c r="K53" s="120">
        <f t="shared" si="49"/>
        <v>0.17558247422680412</v>
      </c>
    </row>
    <row r="54" spans="1:11" s="43" customFormat="1" ht="13.2" x14ac:dyDescent="0.25">
      <c r="A54" s="139">
        <f t="shared" si="44"/>
        <v>-5.0498567433707189E-2</v>
      </c>
      <c r="B54" s="139">
        <f t="shared" si="45"/>
        <v>0.2126362257573981</v>
      </c>
      <c r="C54" s="160">
        <f t="shared" si="46"/>
        <v>0.11394743791233493</v>
      </c>
      <c r="D54" s="160">
        <f t="shared" si="47"/>
        <v>0.1383213304763671</v>
      </c>
      <c r="E54" s="50" t="s">
        <v>342</v>
      </c>
      <c r="F54" s="119">
        <f>(F67/SUM(F72:F74))*100%</f>
        <v>0.16975787214329122</v>
      </c>
      <c r="G54" s="119">
        <f t="shared" ref="G54:K54" si="50">(G67/SUM(G72:G74))*100%</f>
        <v>0.18523336738566679</v>
      </c>
      <c r="H54" s="119">
        <f t="shared" si="50"/>
        <v>0.10688478880944301</v>
      </c>
      <c r="I54" s="119">
        <f t="shared" si="50"/>
        <v>5.9670940811917622E-2</v>
      </c>
      <c r="J54" s="119">
        <f t="shared" si="50"/>
        <v>-5.0498567433707189E-2</v>
      </c>
      <c r="K54" s="120">
        <f t="shared" si="50"/>
        <v>0.2126362257573981</v>
      </c>
    </row>
    <row r="55" spans="1:11" s="43" customFormat="1" ht="13.2" x14ac:dyDescent="0.25">
      <c r="A55" s="139">
        <f t="shared" si="44"/>
        <v>-0.38564643219334011</v>
      </c>
      <c r="B55" s="139">
        <f t="shared" si="45"/>
        <v>0.20557318566061591</v>
      </c>
      <c r="C55" s="160">
        <f t="shared" si="46"/>
        <v>2.0898719762247587E-3</v>
      </c>
      <c r="D55" s="160">
        <f t="shared" si="47"/>
        <v>7.6674140411062852E-2</v>
      </c>
      <c r="E55" s="50" t="s">
        <v>343</v>
      </c>
      <c r="F55" s="119">
        <f>((F72-F76)/F76)*100%</f>
        <v>0.20557318566061591</v>
      </c>
      <c r="G55" s="119">
        <f t="shared" ref="G55:K56" si="51">((G72-G76)/G76)*100%</f>
        <v>-0.38564643219334011</v>
      </c>
      <c r="H55" s="119">
        <f t="shared" si="51"/>
        <v>0.12241553696868147</v>
      </c>
      <c r="I55" s="119">
        <f t="shared" si="51"/>
        <v>6.6295892068608961E-2</v>
      </c>
      <c r="J55" s="119">
        <f t="shared" si="51"/>
        <v>-8.3151339400734436E-2</v>
      </c>
      <c r="K55" s="120">
        <f t="shared" si="51"/>
        <v>8.7052388753516743E-2</v>
      </c>
    </row>
    <row r="56" spans="1:11" s="43" customFormat="1" ht="13.2" x14ac:dyDescent="0.25">
      <c r="A56" s="139">
        <f t="shared" si="44"/>
        <v>-0.22472397666457741</v>
      </c>
      <c r="B56" s="139">
        <f t="shared" si="45"/>
        <v>132.66314349771901</v>
      </c>
      <c r="C56" s="160">
        <f t="shared" si="46"/>
        <v>22.056026323692453</v>
      </c>
      <c r="D56" s="160">
        <f t="shared" si="47"/>
        <v>-1.2608596356915651E-2</v>
      </c>
      <c r="E56" s="50" t="s">
        <v>344</v>
      </c>
      <c r="F56" s="119">
        <f>((F73-F77)/F77)*100%</f>
        <v>-0.22472397666457741</v>
      </c>
      <c r="G56" s="119">
        <f t="shared" si="51"/>
        <v>132.66314349771901</v>
      </c>
      <c r="H56" s="119">
        <f t="shared" si="51"/>
        <v>-2.0617141602152285E-2</v>
      </c>
      <c r="I56" s="119">
        <f t="shared" si="51"/>
        <v>-7.484364481517565E-2</v>
      </c>
      <c r="J56" s="119">
        <f t="shared" si="51"/>
        <v>-4.6000511116790184E-3</v>
      </c>
      <c r="K56" s="120">
        <f t="shared" si="51"/>
        <v>-2.2007413706919025E-3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-3.7664316006750173E-2</v>
      </c>
      <c r="B58" s="139">
        <f t="shared" si="45"/>
        <v>0.20589756561144484</v>
      </c>
      <c r="C58" s="155">
        <f t="shared" si="46"/>
        <v>0.1151878224882399</v>
      </c>
      <c r="D58" s="156">
        <f t="shared" si="47"/>
        <v>0.13668519895878464</v>
      </c>
      <c r="E58" s="50" t="s">
        <v>356</v>
      </c>
      <c r="F58" s="71">
        <f>F68/(F70+F71+F72+F73+F74+F75)</f>
        <v>0.16666856703132893</v>
      </c>
      <c r="G58" s="71">
        <f t="shared" ref="G58:K58" si="52">G68/(G70+G71+G72+G73+G74)</f>
        <v>0.18082535233181055</v>
      </c>
      <c r="H58" s="71">
        <f t="shared" si="52"/>
        <v>0.10670183088624037</v>
      </c>
      <c r="I58" s="71">
        <f t="shared" si="52"/>
        <v>6.8697935075365008E-2</v>
      </c>
      <c r="J58" s="71">
        <f t="shared" si="52"/>
        <v>-3.7664316006750173E-2</v>
      </c>
      <c r="K58" s="72">
        <f t="shared" si="52"/>
        <v>0.20589756561144484</v>
      </c>
    </row>
    <row r="59" spans="1:11" s="43" customFormat="1" ht="13.2" x14ac:dyDescent="0.25">
      <c r="A59" s="139">
        <f t="shared" si="44"/>
        <v>-3.7535182198578571E-2</v>
      </c>
      <c r="B59" s="139">
        <f t="shared" si="45"/>
        <v>0.20588333590495056</v>
      </c>
      <c r="C59" s="155">
        <f t="shared" si="46"/>
        <v>0.11518256647402807</v>
      </c>
      <c r="D59" s="156">
        <f t="shared" si="47"/>
        <v>0.13667850988675406</v>
      </c>
      <c r="E59" s="50" t="s">
        <v>361</v>
      </c>
      <c r="F59" s="71">
        <f>F69/(F70+F71+F72+F73+F74+F75)</f>
        <v>0.16666856703132893</v>
      </c>
      <c r="G59" s="71">
        <f t="shared" ref="G59:K59" si="53">G69/(G70+G71+G72+G73+G74+G75)</f>
        <v>0.1808164514379704</v>
      </c>
      <c r="H59" s="71">
        <f t="shared" si="53"/>
        <v>0.10668845274217917</v>
      </c>
      <c r="I59" s="71">
        <f t="shared" si="53"/>
        <v>6.8573773926317846E-2</v>
      </c>
      <c r="J59" s="71">
        <f t="shared" si="53"/>
        <v>-3.7535182198578571E-2</v>
      </c>
      <c r="K59" s="72">
        <f t="shared" si="53"/>
        <v>0.20588333590495056</v>
      </c>
    </row>
    <row r="60" spans="1:11" s="43" customFormat="1" ht="26.4" x14ac:dyDescent="0.25">
      <c r="A60" s="139">
        <f t="shared" si="44"/>
        <v>-0.18410916515739401</v>
      </c>
      <c r="B60" s="139">
        <f t="shared" si="45"/>
        <v>0.96432587552807869</v>
      </c>
      <c r="C60" s="160">
        <f t="shared" si="46"/>
        <v>0.40524714496608499</v>
      </c>
      <c r="D60" s="160">
        <f t="shared" si="47"/>
        <v>0.37733248080229664</v>
      </c>
      <c r="E60" s="50" t="s">
        <v>372</v>
      </c>
      <c r="F60" s="119">
        <f>F65/F79*100%</f>
        <v>0.34643135042899748</v>
      </c>
      <c r="G60" s="119">
        <f t="shared" ref="G60:K60" si="54">G65/G79*100%</f>
        <v>0.71945033693358029</v>
      </c>
      <c r="H60" s="119">
        <f t="shared" si="54"/>
        <v>0.40823361117559581</v>
      </c>
      <c r="I60" s="119">
        <f t="shared" si="54"/>
        <v>0.1771508608876517</v>
      </c>
      <c r="J60" s="119">
        <f t="shared" si="54"/>
        <v>-0.18410916515739401</v>
      </c>
      <c r="K60" s="120">
        <f t="shared" si="54"/>
        <v>0.96432587552807869</v>
      </c>
    </row>
    <row r="61" spans="1:11" s="43" customFormat="1" ht="13.2" x14ac:dyDescent="0.25">
      <c r="A61" s="139">
        <f t="shared" si="44"/>
        <v>-0.16923520105482151</v>
      </c>
      <c r="B61" s="139">
        <f t="shared" si="45"/>
        <v>0.95018641776767077</v>
      </c>
      <c r="C61" s="155">
        <f t="shared" si="46"/>
        <v>0.40609726314429739</v>
      </c>
      <c r="D61" s="156">
        <f t="shared" si="47"/>
        <v>0.37701140881351036</v>
      </c>
      <c r="E61" s="50" t="s">
        <v>373</v>
      </c>
      <c r="F61" s="71">
        <f>F69/F79</f>
        <v>0.34589265828296689</v>
      </c>
      <c r="G61" s="71">
        <f t="shared" ref="G61:K61" si="55">G69/G79</f>
        <v>0.71966325772913042</v>
      </c>
      <c r="H61" s="71">
        <f t="shared" si="55"/>
        <v>0.40813015934405383</v>
      </c>
      <c r="I61" s="71">
        <f t="shared" si="55"/>
        <v>0.18194628679678398</v>
      </c>
      <c r="J61" s="71">
        <f t="shared" si="55"/>
        <v>-0.16923520105482151</v>
      </c>
      <c r="K61" s="72">
        <f t="shared" si="55"/>
        <v>0.95018641776767077</v>
      </c>
    </row>
    <row r="62" spans="1:11" s="43" customFormat="1" ht="13.2" x14ac:dyDescent="0.25">
      <c r="A62" s="139">
        <f t="shared" si="44"/>
        <v>1.0175664350518553E-2</v>
      </c>
      <c r="B62" s="139">
        <f t="shared" si="45"/>
        <v>0.34819410092592318</v>
      </c>
      <c r="C62" s="155">
        <f t="shared" si="46"/>
        <v>0.10313902942017444</v>
      </c>
      <c r="D62" s="156">
        <f t="shared" si="47"/>
        <v>5.6320243947060325E-2</v>
      </c>
      <c r="E62" s="50" t="s">
        <v>374</v>
      </c>
      <c r="F62" s="71">
        <f>F69/F80</f>
        <v>0.34819410092592318</v>
      </c>
      <c r="G62" s="71">
        <f>G66/G80</f>
        <v>1.0175664350518553E-2</v>
      </c>
      <c r="H62" s="71">
        <f>H66/H80</f>
        <v>4.208903204252936E-2</v>
      </c>
      <c r="I62" s="71">
        <f>I66/I80</f>
        <v>5.0991742763621339E-2</v>
      </c>
      <c r="J62" s="71">
        <f>J66/J80</f>
        <v>0.10573489130795498</v>
      </c>
      <c r="K62" s="72">
        <f>K66/K80</f>
        <v>6.1648745130499318E-2</v>
      </c>
    </row>
    <row r="63" spans="1:11" s="43" customFormat="1" ht="13.8" thickBot="1" x14ac:dyDescent="0.3">
      <c r="A63" s="139">
        <f t="shared" si="44"/>
        <v>-0.19081820897021021</v>
      </c>
      <c r="B63" s="139">
        <f t="shared" si="45"/>
        <v>0.98328834511497087</v>
      </c>
      <c r="C63" s="155">
        <f t="shared" si="46"/>
        <v>0.41778728450150676</v>
      </c>
      <c r="D63" s="156">
        <f t="shared" si="47"/>
        <v>0.40209632073971868</v>
      </c>
      <c r="E63" s="51" t="s">
        <v>302</v>
      </c>
      <c r="F63" s="73">
        <f t="shared" ref="F63:K63" si="56">F65/(F80+F81)</f>
        <v>0.34873637733154006</v>
      </c>
      <c r="G63" s="73">
        <f t="shared" si="56"/>
        <v>0.72655349471287434</v>
      </c>
      <c r="H63" s="73">
        <f t="shared" si="56"/>
        <v>0.45545626414789725</v>
      </c>
      <c r="I63" s="73">
        <f t="shared" si="56"/>
        <v>0.1835074346719682</v>
      </c>
      <c r="J63" s="73">
        <f t="shared" si="56"/>
        <v>-0.19081820897021021</v>
      </c>
      <c r="K63" s="74">
        <f t="shared" si="56"/>
        <v>0.98328834511497087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416508.26</v>
      </c>
      <c r="G65" s="76">
        <f t="shared" ref="G65:K65" si="57">G97</f>
        <v>565603.71</v>
      </c>
      <c r="H65" s="76">
        <f t="shared" si="57"/>
        <v>96877.31</v>
      </c>
      <c r="I65" s="76">
        <f t="shared" si="57"/>
        <v>21259.54</v>
      </c>
      <c r="J65" s="76">
        <f t="shared" si="57"/>
        <v>-17939.98</v>
      </c>
      <c r="K65" s="76">
        <f t="shared" si="57"/>
        <v>108659.96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6467.38</v>
      </c>
      <c r="G66" s="76">
        <f t="shared" ref="G66:K66" si="58">G95</f>
        <v>7921.5</v>
      </c>
      <c r="H66" s="76">
        <f t="shared" si="58"/>
        <v>8952.5</v>
      </c>
      <c r="I66" s="76">
        <f t="shared" si="58"/>
        <v>5907.45</v>
      </c>
      <c r="J66" s="76">
        <f t="shared" si="58"/>
        <v>9940.7800000000007</v>
      </c>
      <c r="K66" s="76">
        <f t="shared" si="58"/>
        <v>6812.6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412755.13</v>
      </c>
      <c r="G67" s="76">
        <f t="shared" ref="G67:K67" si="59">G92</f>
        <v>570037.25</v>
      </c>
      <c r="H67" s="76">
        <f t="shared" si="59"/>
        <v>91053.59</v>
      </c>
      <c r="I67" s="76">
        <f t="shared" si="59"/>
        <v>16780.73</v>
      </c>
      <c r="J67" s="76">
        <f t="shared" si="59"/>
        <v>-20220.7</v>
      </c>
      <c r="K67" s="76">
        <f t="shared" si="59"/>
        <v>102320.42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415860.6</v>
      </c>
      <c r="G68" s="76">
        <f t="shared" ref="G68:K68" si="60">G102</f>
        <v>565771.1</v>
      </c>
      <c r="H68" s="76">
        <f t="shared" si="60"/>
        <v>96852.76</v>
      </c>
      <c r="I68" s="76">
        <f t="shared" si="60"/>
        <v>21835.03</v>
      </c>
      <c r="J68" s="76">
        <f t="shared" si="60"/>
        <v>-16490.63</v>
      </c>
      <c r="K68" s="76">
        <f t="shared" si="60"/>
        <v>107066.73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415860.6</v>
      </c>
      <c r="G69" s="76">
        <f t="shared" ref="G69:K69" si="61">G104</f>
        <v>565771.1</v>
      </c>
      <c r="H69" s="76">
        <f t="shared" si="61"/>
        <v>96852.76</v>
      </c>
      <c r="I69" s="76">
        <f t="shared" si="61"/>
        <v>21835.03</v>
      </c>
      <c r="J69" s="76">
        <f t="shared" si="61"/>
        <v>-16490.63</v>
      </c>
      <c r="K69" s="76">
        <f t="shared" si="61"/>
        <v>107066.73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63700</v>
      </c>
      <c r="G70" s="76">
        <f t="shared" ref="G70:K70" si="62">G93</f>
        <v>51390</v>
      </c>
      <c r="H70" s="76">
        <f t="shared" si="62"/>
        <v>55810</v>
      </c>
      <c r="I70" s="76">
        <f t="shared" si="62"/>
        <v>36620</v>
      </c>
      <c r="J70" s="76">
        <f t="shared" si="62"/>
        <v>37410</v>
      </c>
      <c r="K70" s="76">
        <f t="shared" si="62"/>
        <v>38800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0</v>
      </c>
      <c r="G71" s="76">
        <f t="shared" ref="G71:K71" si="63">G98</f>
        <v>35.74</v>
      </c>
      <c r="H71" s="76">
        <f t="shared" si="63"/>
        <v>0</v>
      </c>
      <c r="I71" s="76">
        <f t="shared" si="63"/>
        <v>0</v>
      </c>
      <c r="J71" s="76">
        <f t="shared" si="63"/>
        <v>0.4</v>
      </c>
      <c r="K71" s="76">
        <f t="shared" si="63"/>
        <v>0.6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2427414.4</v>
      </c>
      <c r="G72" s="76">
        <f t="shared" ref="G72:K74" si="64">G85</f>
        <v>1533310.46</v>
      </c>
      <c r="H72" s="76">
        <f t="shared" si="64"/>
        <v>837615.39</v>
      </c>
      <c r="I72" s="76">
        <f t="shared" si="64"/>
        <v>276301.14</v>
      </c>
      <c r="J72" s="76">
        <f t="shared" si="64"/>
        <v>378489.76</v>
      </c>
      <c r="K72" s="76">
        <f t="shared" si="64"/>
        <v>405163.34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4020</v>
      </c>
      <c r="G73" s="76">
        <f t="shared" si="64"/>
        <v>1544090</v>
      </c>
      <c r="H73" s="76">
        <f t="shared" si="64"/>
        <v>14270</v>
      </c>
      <c r="I73" s="76">
        <f t="shared" si="64"/>
        <v>4920</v>
      </c>
      <c r="J73" s="76">
        <f t="shared" si="64"/>
        <v>7790</v>
      </c>
      <c r="K73" s="76">
        <f t="shared" si="64"/>
        <v>6148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14141.5</v>
      </c>
      <c r="K74" s="76">
        <f t="shared" si="64"/>
        <v>69888.039999999994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0.75</v>
      </c>
      <c r="G75" s="76">
        <f t="shared" ref="G75:K75" si="65">G100</f>
        <v>154.02000000000001</v>
      </c>
      <c r="H75" s="76">
        <f t="shared" si="65"/>
        <v>113.82</v>
      </c>
      <c r="I75" s="76">
        <f t="shared" si="65"/>
        <v>575.49</v>
      </c>
      <c r="J75" s="76">
        <f t="shared" si="65"/>
        <v>1506.29</v>
      </c>
      <c r="K75" s="76">
        <f t="shared" si="65"/>
        <v>35.94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2013494.02</v>
      </c>
      <c r="G76" s="76">
        <f t="shared" ref="G76:K78" si="66">G89</f>
        <v>2495811.11</v>
      </c>
      <c r="H76" s="76">
        <f t="shared" si="66"/>
        <v>746261.4</v>
      </c>
      <c r="I76" s="76">
        <f t="shared" si="66"/>
        <v>259122.39</v>
      </c>
      <c r="J76" s="76">
        <f t="shared" si="66"/>
        <v>412815.96</v>
      </c>
      <c r="K76" s="76">
        <f t="shared" si="66"/>
        <v>372717.4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5185.25</v>
      </c>
      <c r="G77" s="76">
        <f t="shared" si="66"/>
        <v>11552.1</v>
      </c>
      <c r="H77" s="76">
        <f t="shared" si="66"/>
        <v>14570.4</v>
      </c>
      <c r="I77" s="76">
        <f t="shared" si="66"/>
        <v>5318.02</v>
      </c>
      <c r="J77" s="76">
        <f t="shared" si="66"/>
        <v>7826</v>
      </c>
      <c r="K77" s="76">
        <f t="shared" si="66"/>
        <v>6161.56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1202282.24</v>
      </c>
      <c r="G79" s="76">
        <f t="shared" ref="G79:K79" si="67">G120</f>
        <v>786160.88</v>
      </c>
      <c r="H79" s="76">
        <f t="shared" si="67"/>
        <v>237308.51</v>
      </c>
      <c r="I79" s="76">
        <f t="shared" si="67"/>
        <v>120008.11</v>
      </c>
      <c r="J79" s="76">
        <f t="shared" si="67"/>
        <v>97442.08</v>
      </c>
      <c r="K79" s="76">
        <f t="shared" si="67"/>
        <v>112679.71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1194335.57</v>
      </c>
      <c r="G80" s="76">
        <f t="shared" ref="G80:K80" si="68">G122</f>
        <v>778474.97</v>
      </c>
      <c r="H80" s="76">
        <f t="shared" si="68"/>
        <v>212703.87</v>
      </c>
      <c r="I80" s="76">
        <f t="shared" si="68"/>
        <v>115851.11</v>
      </c>
      <c r="J80" s="76">
        <f t="shared" si="68"/>
        <v>94016.08</v>
      </c>
      <c r="K80" s="76">
        <f t="shared" si="68"/>
        <v>110506.71</v>
      </c>
    </row>
    <row r="81" spans="3:11" s="43" customFormat="1" ht="13.2" x14ac:dyDescent="0.25">
      <c r="C81" s="79"/>
      <c r="D81" s="79"/>
      <c r="E81" s="43" t="s">
        <v>317</v>
      </c>
      <c r="F81" s="76" t="str">
        <f>F129</f>
        <v>0,00</v>
      </c>
      <c r="G81" s="76" t="str">
        <f t="shared" ref="G81:K81" si="69">G129</f>
        <v>0,00</v>
      </c>
      <c r="H81" s="76" t="str">
        <f t="shared" si="69"/>
        <v>0,00</v>
      </c>
      <c r="I81" s="76" t="str">
        <f t="shared" si="69"/>
        <v>0,00</v>
      </c>
      <c r="J81" s="76" t="str">
        <f t="shared" si="69"/>
        <v>0,00</v>
      </c>
      <c r="K81" s="76" t="str">
        <f t="shared" si="69"/>
        <v>0,00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2431434.4</v>
      </c>
      <c r="G84" s="90">
        <v>3077400.46</v>
      </c>
      <c r="H84" s="90">
        <v>851885.39</v>
      </c>
      <c r="I84" s="90">
        <v>281221.14</v>
      </c>
      <c r="J84" s="90">
        <v>400421.26</v>
      </c>
      <c r="K84" s="90">
        <v>481199.38</v>
      </c>
    </row>
    <row r="85" spans="3:11" x14ac:dyDescent="0.3">
      <c r="E85" s="11" t="s">
        <v>3</v>
      </c>
      <c r="F85" s="90">
        <v>2427414.4</v>
      </c>
      <c r="G85" s="90">
        <v>1533310.46</v>
      </c>
      <c r="H85" s="90">
        <v>837615.39</v>
      </c>
      <c r="I85" s="90">
        <v>276301.14</v>
      </c>
      <c r="J85" s="90">
        <v>378489.76</v>
      </c>
      <c r="K85" s="90">
        <v>405163.34</v>
      </c>
    </row>
    <row r="86" spans="3:11" x14ac:dyDescent="0.3">
      <c r="E86" s="11" t="s">
        <v>4</v>
      </c>
      <c r="F86" s="90">
        <v>4020</v>
      </c>
      <c r="G86" s="90">
        <v>1544090</v>
      </c>
      <c r="H86" s="90">
        <v>14270</v>
      </c>
      <c r="I86" s="90">
        <v>4920</v>
      </c>
      <c r="J86" s="90">
        <v>7790</v>
      </c>
      <c r="K86" s="90">
        <v>6148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14141.5</v>
      </c>
      <c r="K87" s="90">
        <v>69888.039999999994</v>
      </c>
    </row>
    <row r="88" spans="3:11" x14ac:dyDescent="0.3">
      <c r="E88" s="11" t="s">
        <v>6</v>
      </c>
      <c r="F88" s="90">
        <v>2018679.27</v>
      </c>
      <c r="G88" s="90">
        <v>2507363.21</v>
      </c>
      <c r="H88" s="90">
        <v>760831.8</v>
      </c>
      <c r="I88" s="90">
        <v>264440.40999999997</v>
      </c>
      <c r="J88" s="90">
        <v>420641.96</v>
      </c>
      <c r="K88" s="90">
        <v>378878.96</v>
      </c>
    </row>
    <row r="89" spans="3:11" x14ac:dyDescent="0.3">
      <c r="E89" s="11" t="s">
        <v>7</v>
      </c>
      <c r="F89" s="90">
        <v>2013494.02</v>
      </c>
      <c r="G89" s="90">
        <v>2495811.11</v>
      </c>
      <c r="H89" s="90">
        <v>746261.4</v>
      </c>
      <c r="I89" s="90">
        <v>259122.39</v>
      </c>
      <c r="J89" s="90">
        <v>412815.96</v>
      </c>
      <c r="K89" s="90">
        <v>372717.4</v>
      </c>
    </row>
    <row r="90" spans="3:11" x14ac:dyDescent="0.3">
      <c r="E90" s="11" t="s">
        <v>8</v>
      </c>
      <c r="F90" s="90">
        <v>5185.25</v>
      </c>
      <c r="G90" s="90">
        <v>11552.1</v>
      </c>
      <c r="H90" s="90">
        <v>14570.4</v>
      </c>
      <c r="I90" s="90">
        <v>5318.02</v>
      </c>
      <c r="J90" s="90">
        <v>7826</v>
      </c>
      <c r="K90" s="90">
        <v>6161.56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412755.13</v>
      </c>
      <c r="G92" s="90">
        <v>570037.25</v>
      </c>
      <c r="H92" s="90">
        <v>91053.59</v>
      </c>
      <c r="I92" s="90">
        <v>16780.73</v>
      </c>
      <c r="J92" s="90">
        <v>-20220.7</v>
      </c>
      <c r="K92" s="90">
        <v>102320.42</v>
      </c>
    </row>
    <row r="93" spans="3:11" x14ac:dyDescent="0.3">
      <c r="E93" s="11" t="s">
        <v>11</v>
      </c>
      <c r="F93" s="90">
        <v>63700</v>
      </c>
      <c r="G93" s="90">
        <v>51390</v>
      </c>
      <c r="H93" s="90">
        <v>55810</v>
      </c>
      <c r="I93" s="90">
        <v>36620</v>
      </c>
      <c r="J93" s="90">
        <v>37410</v>
      </c>
      <c r="K93" s="90">
        <v>38800</v>
      </c>
    </row>
    <row r="94" spans="3:11" x14ac:dyDescent="0.3">
      <c r="E94" s="11" t="s">
        <v>12</v>
      </c>
      <c r="F94" s="90">
        <v>57232.62</v>
      </c>
      <c r="G94" s="90">
        <v>43468.5</v>
      </c>
      <c r="H94" s="90">
        <v>46857.5</v>
      </c>
      <c r="I94" s="90">
        <v>30712.55</v>
      </c>
      <c r="J94" s="90">
        <v>27469.22</v>
      </c>
      <c r="K94" s="90">
        <v>31987.4</v>
      </c>
    </row>
    <row r="95" spans="3:11" x14ac:dyDescent="0.3">
      <c r="E95" s="11" t="s">
        <v>13</v>
      </c>
      <c r="F95" s="90">
        <v>6467.38</v>
      </c>
      <c r="G95" s="90">
        <v>7921.5</v>
      </c>
      <c r="H95" s="90">
        <v>8952.5</v>
      </c>
      <c r="I95" s="90">
        <v>5907.45</v>
      </c>
      <c r="J95" s="90">
        <v>9940.7800000000007</v>
      </c>
      <c r="K95" s="90">
        <v>6812.6</v>
      </c>
    </row>
    <row r="96" spans="3:11" x14ac:dyDescent="0.3">
      <c r="E96" s="11" t="s">
        <v>14</v>
      </c>
      <c r="F96" s="90">
        <v>2714.25</v>
      </c>
      <c r="G96" s="90">
        <v>12355.04</v>
      </c>
      <c r="H96" s="90">
        <v>3128.78</v>
      </c>
      <c r="I96" s="90">
        <v>1428.64</v>
      </c>
      <c r="J96" s="90">
        <v>7660.06</v>
      </c>
      <c r="K96" s="107">
        <v>473.06</v>
      </c>
    </row>
    <row r="97" spans="5:11" x14ac:dyDescent="0.3">
      <c r="E97" s="11" t="s">
        <v>15</v>
      </c>
      <c r="F97" s="90">
        <v>416508.26</v>
      </c>
      <c r="G97" s="90">
        <v>565603.71</v>
      </c>
      <c r="H97" s="90">
        <v>96877.31</v>
      </c>
      <c r="I97" s="90">
        <v>21259.54</v>
      </c>
      <c r="J97" s="90">
        <v>-17939.98</v>
      </c>
      <c r="K97" s="90">
        <v>108659.96</v>
      </c>
    </row>
    <row r="98" spans="5:11" x14ac:dyDescent="0.3">
      <c r="E98" s="11" t="s">
        <v>16</v>
      </c>
      <c r="F98" s="107">
        <v>0</v>
      </c>
      <c r="G98" s="107">
        <v>35.74</v>
      </c>
      <c r="H98" s="107">
        <v>0</v>
      </c>
      <c r="I98" s="107">
        <v>0</v>
      </c>
      <c r="J98" s="107">
        <v>0.4</v>
      </c>
      <c r="K98" s="107">
        <v>0.6</v>
      </c>
    </row>
    <row r="99" spans="5:11" x14ac:dyDescent="0.3">
      <c r="E99" s="11" t="s">
        <v>17</v>
      </c>
      <c r="F99" s="107">
        <v>0</v>
      </c>
      <c r="G99" s="107">
        <v>10</v>
      </c>
      <c r="H99" s="107">
        <v>0</v>
      </c>
      <c r="I99" s="107">
        <v>0</v>
      </c>
      <c r="J99" s="107">
        <v>0.4</v>
      </c>
      <c r="K99" s="107">
        <v>0</v>
      </c>
    </row>
    <row r="100" spans="5:11" x14ac:dyDescent="0.3">
      <c r="E100" s="11" t="s">
        <v>18</v>
      </c>
      <c r="F100" s="107">
        <v>0.75</v>
      </c>
      <c r="G100" s="107">
        <v>154.02000000000001</v>
      </c>
      <c r="H100" s="107">
        <v>113.82</v>
      </c>
      <c r="I100" s="107">
        <v>575.49</v>
      </c>
      <c r="J100" s="90">
        <v>1506.29</v>
      </c>
      <c r="K100" s="107">
        <v>35.94</v>
      </c>
    </row>
    <row r="101" spans="5:11" x14ac:dyDescent="0.3">
      <c r="E101" s="11" t="s">
        <v>19</v>
      </c>
      <c r="F101" s="107">
        <v>648.41</v>
      </c>
      <c r="G101" s="107">
        <v>12.37</v>
      </c>
      <c r="H101" s="107">
        <v>138.37</v>
      </c>
      <c r="I101" s="107">
        <v>0</v>
      </c>
      <c r="J101" s="107">
        <v>56.94</v>
      </c>
      <c r="K101" s="90">
        <v>1629.77</v>
      </c>
    </row>
    <row r="102" spans="5:11" x14ac:dyDescent="0.3">
      <c r="E102" s="11" t="s">
        <v>20</v>
      </c>
      <c r="F102" s="90">
        <v>415860.6</v>
      </c>
      <c r="G102" s="90">
        <v>565771.1</v>
      </c>
      <c r="H102" s="90">
        <v>96852.76</v>
      </c>
      <c r="I102" s="90">
        <v>21835.03</v>
      </c>
      <c r="J102" s="90">
        <v>-16490.63</v>
      </c>
      <c r="K102" s="90">
        <v>107066.73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415860.6</v>
      </c>
      <c r="G104" s="90">
        <v>565771.1</v>
      </c>
      <c r="H104" s="90">
        <v>96852.76</v>
      </c>
      <c r="I104" s="90">
        <v>21835.03</v>
      </c>
      <c r="J104" s="90">
        <v>-16490.63</v>
      </c>
      <c r="K104" s="90">
        <v>107066.73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2420.08</v>
      </c>
      <c r="G108" s="90">
        <v>2658.64</v>
      </c>
      <c r="H108" s="90">
        <v>2897.2</v>
      </c>
      <c r="I108" s="90">
        <v>3135.76</v>
      </c>
      <c r="J108" s="90">
        <v>3374.32</v>
      </c>
      <c r="K108" s="90">
        <v>3612.88</v>
      </c>
    </row>
    <row r="109" spans="5:11" ht="15" customHeight="1" x14ac:dyDescent="0.3">
      <c r="E109" s="8" t="s">
        <v>27</v>
      </c>
      <c r="F109" s="90" t="s">
        <v>28</v>
      </c>
      <c r="G109" s="90" t="s">
        <v>28</v>
      </c>
      <c r="H109" s="90" t="s">
        <v>28</v>
      </c>
      <c r="I109" s="90" t="s">
        <v>28</v>
      </c>
      <c r="J109" s="90" t="s">
        <v>28</v>
      </c>
      <c r="K109" s="90" t="s">
        <v>28</v>
      </c>
    </row>
    <row r="110" spans="5:11" ht="15" customHeight="1" x14ac:dyDescent="0.3">
      <c r="E110" s="8" t="s">
        <v>29</v>
      </c>
      <c r="F110" s="90">
        <v>2420.08</v>
      </c>
      <c r="G110" s="90">
        <v>2658.64</v>
      </c>
      <c r="H110" s="90">
        <v>2897.2</v>
      </c>
      <c r="I110" s="90">
        <v>3135.76</v>
      </c>
      <c r="J110" s="90">
        <v>3374.32</v>
      </c>
      <c r="K110" s="90">
        <v>3612.88</v>
      </c>
    </row>
    <row r="111" spans="5:11" ht="15" customHeight="1" x14ac:dyDescent="0.3">
      <c r="E111" s="8" t="s">
        <v>30</v>
      </c>
      <c r="F111" s="90" t="s">
        <v>28</v>
      </c>
      <c r="G111" s="90" t="s">
        <v>28</v>
      </c>
      <c r="H111" s="90" t="s">
        <v>28</v>
      </c>
      <c r="I111" s="90" t="s">
        <v>28</v>
      </c>
      <c r="J111" s="90" t="s">
        <v>28</v>
      </c>
      <c r="K111" s="90" t="s">
        <v>28</v>
      </c>
    </row>
    <row r="112" spans="5:11" ht="15" customHeight="1" x14ac:dyDescent="0.3">
      <c r="E112" s="8" t="s">
        <v>31</v>
      </c>
      <c r="F112" s="90" t="s">
        <v>28</v>
      </c>
      <c r="G112" s="90" t="s">
        <v>28</v>
      </c>
      <c r="H112" s="90" t="s">
        <v>28</v>
      </c>
      <c r="I112" s="90" t="s">
        <v>28</v>
      </c>
      <c r="J112" s="90" t="s">
        <v>28</v>
      </c>
      <c r="K112" s="90" t="s">
        <v>28</v>
      </c>
    </row>
    <row r="113" spans="5:11" ht="15" customHeight="1" x14ac:dyDescent="0.3">
      <c r="E113" s="8" t="s">
        <v>32</v>
      </c>
      <c r="F113" s="90" t="s">
        <v>28</v>
      </c>
      <c r="G113" s="90" t="s">
        <v>28</v>
      </c>
      <c r="H113" s="90" t="s">
        <v>28</v>
      </c>
      <c r="I113" s="90" t="s">
        <v>28</v>
      </c>
      <c r="J113" s="90" t="s">
        <v>28</v>
      </c>
      <c r="K113" s="90" t="s">
        <v>28</v>
      </c>
    </row>
    <row r="114" spans="5:11" x14ac:dyDescent="0.3">
      <c r="E114" s="7" t="s">
        <v>33</v>
      </c>
      <c r="F114" s="90">
        <v>1199862.1599999999</v>
      </c>
      <c r="G114" s="90">
        <v>783502.24</v>
      </c>
      <c r="H114" s="90">
        <v>234411.31</v>
      </c>
      <c r="I114" s="90">
        <v>116872.35</v>
      </c>
      <c r="J114" s="90">
        <v>94067.76</v>
      </c>
      <c r="K114" s="90">
        <v>109066.83</v>
      </c>
    </row>
    <row r="115" spans="5:11" x14ac:dyDescent="0.3">
      <c r="E115" s="8" t="s">
        <v>34</v>
      </c>
      <c r="F115" s="90" t="s">
        <v>28</v>
      </c>
      <c r="G115" s="90" t="s">
        <v>28</v>
      </c>
      <c r="H115" s="90" t="s">
        <v>28</v>
      </c>
      <c r="I115" s="90" t="s">
        <v>28</v>
      </c>
      <c r="J115" s="90" t="s">
        <v>28</v>
      </c>
      <c r="K115" s="90" t="s">
        <v>28</v>
      </c>
    </row>
    <row r="116" spans="5:11" ht="15" customHeight="1" x14ac:dyDescent="0.3">
      <c r="E116" s="8" t="s">
        <v>35</v>
      </c>
      <c r="F116" s="90">
        <v>69691.83</v>
      </c>
      <c r="G116" s="90">
        <v>9033.7000000000007</v>
      </c>
      <c r="H116" s="90">
        <v>3659.3</v>
      </c>
      <c r="I116" s="90">
        <v>4198.3</v>
      </c>
      <c r="J116" s="90">
        <v>1798.3</v>
      </c>
      <c r="K116" s="90">
        <v>5005.04</v>
      </c>
    </row>
    <row r="117" spans="5:11" ht="15" customHeight="1" x14ac:dyDescent="0.3">
      <c r="E117" s="8" t="s">
        <v>36</v>
      </c>
      <c r="F117" s="90">
        <v>1130170.33</v>
      </c>
      <c r="G117" s="90">
        <v>774468.54</v>
      </c>
      <c r="H117" s="90">
        <v>230752.01</v>
      </c>
      <c r="I117" s="90">
        <v>112674.05</v>
      </c>
      <c r="J117" s="90">
        <v>92269.46</v>
      </c>
      <c r="K117" s="90">
        <v>104061.79</v>
      </c>
    </row>
    <row r="118" spans="5:11" ht="15" customHeight="1" x14ac:dyDescent="0.3">
      <c r="E118" s="8" t="s">
        <v>37</v>
      </c>
      <c r="F118" s="90" t="s">
        <v>28</v>
      </c>
      <c r="G118" s="90" t="s">
        <v>28</v>
      </c>
      <c r="H118" s="90" t="s">
        <v>28</v>
      </c>
      <c r="I118" s="90" t="s">
        <v>28</v>
      </c>
      <c r="J118" s="90" t="s">
        <v>28</v>
      </c>
      <c r="K118" s="90" t="s">
        <v>28</v>
      </c>
    </row>
    <row r="119" spans="5:11" ht="15" customHeight="1" x14ac:dyDescent="0.3">
      <c r="E119" s="7" t="s">
        <v>38</v>
      </c>
      <c r="F119" s="90" t="s">
        <v>24</v>
      </c>
      <c r="G119" s="90" t="s">
        <v>24</v>
      </c>
      <c r="H119" s="90" t="s">
        <v>24</v>
      </c>
      <c r="I119" s="90" t="s">
        <v>24</v>
      </c>
      <c r="J119" s="90" t="s">
        <v>24</v>
      </c>
      <c r="K119" s="90" t="s">
        <v>24</v>
      </c>
    </row>
    <row r="120" spans="5:11" x14ac:dyDescent="0.3">
      <c r="E120" s="7" t="s">
        <v>39</v>
      </c>
      <c r="F120" s="90">
        <v>1202282.24</v>
      </c>
      <c r="G120" s="90">
        <v>786160.88</v>
      </c>
      <c r="H120" s="90">
        <v>237308.51</v>
      </c>
      <c r="I120" s="90">
        <v>120008.11</v>
      </c>
      <c r="J120" s="90">
        <v>97442.08</v>
      </c>
      <c r="K120" s="90">
        <v>112679.71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1194335.57</v>
      </c>
      <c r="G122" s="90">
        <v>778474.97</v>
      </c>
      <c r="H122" s="90">
        <v>212703.87</v>
      </c>
      <c r="I122" s="90">
        <v>115851.11</v>
      </c>
      <c r="J122" s="90">
        <v>94016.08</v>
      </c>
      <c r="K122" s="90">
        <v>110506.71</v>
      </c>
    </row>
    <row r="123" spans="5:11" x14ac:dyDescent="0.3">
      <c r="E123" s="8" t="s">
        <v>42</v>
      </c>
      <c r="F123" s="90">
        <v>2000</v>
      </c>
      <c r="G123" s="90">
        <v>2000</v>
      </c>
      <c r="H123" s="90">
        <v>2000</v>
      </c>
      <c r="I123" s="90">
        <v>2000</v>
      </c>
      <c r="J123" s="90">
        <v>2000</v>
      </c>
      <c r="K123" s="90">
        <v>2000</v>
      </c>
    </row>
    <row r="124" spans="5:11" x14ac:dyDescent="0.3">
      <c r="E124" s="8" t="s">
        <v>43</v>
      </c>
      <c r="F124" s="90">
        <v>776474.97</v>
      </c>
      <c r="G124" s="90">
        <v>210703.87</v>
      </c>
      <c r="H124" s="90">
        <v>113851.11</v>
      </c>
      <c r="I124" s="90">
        <v>92016.08</v>
      </c>
      <c r="J124" s="90">
        <v>108506.71</v>
      </c>
      <c r="K124" s="90">
        <v>1439.98</v>
      </c>
    </row>
    <row r="125" spans="5:11" ht="15" customHeight="1" x14ac:dyDescent="0.3">
      <c r="E125" s="8" t="s">
        <v>44</v>
      </c>
      <c r="F125" s="90" t="s">
        <v>28</v>
      </c>
      <c r="G125" s="90" t="s">
        <v>28</v>
      </c>
      <c r="H125" s="90" t="s">
        <v>28</v>
      </c>
      <c r="I125" s="90" t="s">
        <v>28</v>
      </c>
      <c r="J125" s="90" t="s">
        <v>28</v>
      </c>
      <c r="K125" s="90" t="s">
        <v>28</v>
      </c>
    </row>
    <row r="126" spans="5:11" x14ac:dyDescent="0.3">
      <c r="E126" s="8" t="s">
        <v>45</v>
      </c>
      <c r="F126" s="90">
        <v>415860.6</v>
      </c>
      <c r="G126" s="90">
        <v>565771.1</v>
      </c>
      <c r="H126" s="90">
        <v>96852.76</v>
      </c>
      <c r="I126" s="90">
        <v>21835.03</v>
      </c>
      <c r="J126" s="90">
        <v>-16490.63</v>
      </c>
      <c r="K126" s="90">
        <v>107066.73</v>
      </c>
    </row>
    <row r="127" spans="5:11" ht="15" customHeight="1" x14ac:dyDescent="0.3">
      <c r="E127" s="18" t="s">
        <v>91</v>
      </c>
      <c r="F127" s="90">
        <v>7946.67</v>
      </c>
      <c r="G127" s="90">
        <v>7685.91</v>
      </c>
      <c r="H127" s="90">
        <v>24604.639999999999</v>
      </c>
      <c r="I127" s="90">
        <v>4157</v>
      </c>
      <c r="J127" s="90">
        <v>3426</v>
      </c>
      <c r="K127" s="90">
        <v>2173</v>
      </c>
    </row>
    <row r="128" spans="5:11" ht="15" customHeight="1" x14ac:dyDescent="0.3">
      <c r="E128" s="8" t="s">
        <v>46</v>
      </c>
      <c r="F128" s="90" t="s">
        <v>28</v>
      </c>
      <c r="G128" s="90" t="s">
        <v>28</v>
      </c>
      <c r="H128" s="90" t="s">
        <v>28</v>
      </c>
      <c r="I128" s="90" t="s">
        <v>28</v>
      </c>
      <c r="J128" s="90" t="s">
        <v>28</v>
      </c>
      <c r="K128" s="90" t="s">
        <v>28</v>
      </c>
    </row>
    <row r="129" spans="5:11" ht="15" customHeight="1" x14ac:dyDescent="0.3">
      <c r="E129" s="17" t="s">
        <v>89</v>
      </c>
      <c r="F129" s="90" t="s">
        <v>28</v>
      </c>
      <c r="G129" s="90" t="s">
        <v>28</v>
      </c>
      <c r="H129" s="90" t="s">
        <v>28</v>
      </c>
      <c r="I129" s="90" t="s">
        <v>28</v>
      </c>
      <c r="J129" s="90" t="s">
        <v>28</v>
      </c>
      <c r="K129" s="90" t="s">
        <v>28</v>
      </c>
    </row>
    <row r="130" spans="5:11" ht="15" customHeight="1" x14ac:dyDescent="0.3">
      <c r="E130" s="17" t="s">
        <v>90</v>
      </c>
      <c r="F130" s="90">
        <v>7946.67</v>
      </c>
      <c r="G130" s="90">
        <v>7685.91</v>
      </c>
      <c r="H130" s="90">
        <v>24604.639999999999</v>
      </c>
      <c r="I130" s="90">
        <v>4157</v>
      </c>
      <c r="J130" s="90">
        <v>3426</v>
      </c>
      <c r="K130" s="90">
        <v>2173</v>
      </c>
    </row>
    <row r="131" spans="5:11" ht="15" customHeight="1" x14ac:dyDescent="0.3">
      <c r="E131" s="17" t="s">
        <v>88</v>
      </c>
      <c r="F131" s="90" t="s">
        <v>28</v>
      </c>
      <c r="G131" s="90" t="s">
        <v>28</v>
      </c>
      <c r="H131" s="90" t="s">
        <v>28</v>
      </c>
      <c r="I131" s="90" t="s">
        <v>28</v>
      </c>
      <c r="J131" s="90" t="s">
        <v>28</v>
      </c>
      <c r="K131" s="90" t="s">
        <v>28</v>
      </c>
    </row>
    <row r="132" spans="5:11" x14ac:dyDescent="0.3">
      <c r="E132" s="7" t="s">
        <v>47</v>
      </c>
      <c r="F132" s="90">
        <v>1202282.24</v>
      </c>
      <c r="G132" s="90">
        <v>786160.88</v>
      </c>
      <c r="H132" s="90">
        <v>237308.51</v>
      </c>
      <c r="I132" s="90">
        <v>120008.11</v>
      </c>
      <c r="J132" s="90">
        <v>97442.08</v>
      </c>
      <c r="K132" s="90">
        <v>112679.71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3A47F-04A2-4A05-A2F0-ADB629546422}">
  <sheetPr>
    <tabColor theme="5" tint="0.79998168889431442"/>
  </sheetPr>
  <dimension ref="A1:L177"/>
  <sheetViews>
    <sheetView topLeftCell="A157" workbookViewId="0">
      <selection sqref="A1:L192"/>
    </sheetView>
  </sheetViews>
  <sheetFormatPr defaultRowHeight="14.4" x14ac:dyDescent="0.3"/>
  <cols>
    <col min="1" max="1" width="11.33203125" style="43" customWidth="1"/>
    <col min="2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426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1.389022335125393</v>
      </c>
      <c r="B4" s="139">
        <f>MAX(F4:K4)</f>
        <v>2.7103264059690697</v>
      </c>
      <c r="C4" s="155">
        <f>AVERAGE(F4:K4)</f>
        <v>2.0863552210540712</v>
      </c>
      <c r="D4" s="156">
        <f>MEDIAN(F4:K4)</f>
        <v>2.040421442420973</v>
      </c>
      <c r="E4" s="47" t="s">
        <v>364</v>
      </c>
      <c r="F4" s="71">
        <f>SUM(F9:F12)/SUM(F13:F15)</f>
        <v>1.389022335125393</v>
      </c>
      <c r="G4" s="71">
        <f t="shared" ref="G4:K4" si="0">SUM(G9:G12)/SUM(G13:G15)</f>
        <v>1.8699509854904068</v>
      </c>
      <c r="H4" s="71">
        <f t="shared" si="0"/>
        <v>1.6906972019210389</v>
      </c>
      <c r="I4" s="71">
        <f t="shared" si="0"/>
        <v>2.2108918993515387</v>
      </c>
      <c r="J4" s="71">
        <f t="shared" si="0"/>
        <v>2.6472424984669805</v>
      </c>
      <c r="K4" s="71">
        <f t="shared" si="0"/>
        <v>2.7103264059690697</v>
      </c>
    </row>
    <row r="5" spans="1:11" s="43" customFormat="1" ht="13.2" x14ac:dyDescent="0.25">
      <c r="A5" s="139">
        <f t="shared" ref="A5:A7" si="1">MIN(F5:K5)</f>
        <v>3.608095128699202</v>
      </c>
      <c r="B5" s="139">
        <f t="shared" ref="B5:B7" si="2">MAX(F5:K5)</f>
        <v>10.902880185827373</v>
      </c>
      <c r="C5" s="155">
        <f t="shared" ref="C5:C7" si="3">AVERAGEIF(F5:K5,"&gt;0")</f>
        <v>6.8635948616132971</v>
      </c>
      <c r="D5" s="156">
        <f t="shared" ref="D5:D7" si="4">_xlfn.AGGREGATE(12,6,F5:K5)</f>
        <v>6.059465216659655</v>
      </c>
      <c r="E5" s="47" t="s">
        <v>363</v>
      </c>
      <c r="F5" s="71">
        <f t="shared" ref="F5:K5" si="5">SUM(F9:F12)/F14</f>
        <v>3.608095128699202</v>
      </c>
      <c r="G5" s="71">
        <f t="shared" si="5"/>
        <v>4.7191979141032085</v>
      </c>
      <c r="H5" s="71">
        <f t="shared" si="5"/>
        <v>4.0093088478374268</v>
      </c>
      <c r="I5" s="71">
        <f t="shared" si="5"/>
        <v>10.542354573996469</v>
      </c>
      <c r="J5" s="71">
        <f t="shared" si="5"/>
        <v>7.3997325192161023</v>
      </c>
      <c r="K5" s="71">
        <f t="shared" si="5"/>
        <v>10.902880185827373</v>
      </c>
    </row>
    <row r="6" spans="1:11" s="43" customFormat="1" ht="13.2" x14ac:dyDescent="0.25">
      <c r="A6" s="139">
        <f t="shared" si="1"/>
        <v>3.5914056537441685</v>
      </c>
      <c r="B6" s="139">
        <f t="shared" si="2"/>
        <v>10.80710491994243</v>
      </c>
      <c r="C6" s="155">
        <f t="shared" si="3"/>
        <v>6.8262918203125773</v>
      </c>
      <c r="D6" s="156">
        <f t="shared" si="4"/>
        <v>6.0466881321669605</v>
      </c>
      <c r="E6" s="47" t="s">
        <v>365</v>
      </c>
      <c r="F6" s="71">
        <f t="shared" ref="F6:K6" si="6">SUM(F10:F11)/F14</f>
        <v>3.5914056537441685</v>
      </c>
      <c r="G6" s="71">
        <f t="shared" si="6"/>
        <v>4.7101227717978622</v>
      </c>
      <c r="H6" s="71">
        <f t="shared" si="6"/>
        <v>4.0032015314719365</v>
      </c>
      <c r="I6" s="71">
        <f t="shared" si="6"/>
        <v>10.462662552383005</v>
      </c>
      <c r="J6" s="71">
        <f t="shared" si="6"/>
        <v>7.3832534925360589</v>
      </c>
      <c r="K6" s="71">
        <f t="shared" si="6"/>
        <v>10.80710491994243</v>
      </c>
    </row>
    <row r="7" spans="1:11" s="43" customFormat="1" ht="13.8" thickBot="1" x14ac:dyDescent="0.3">
      <c r="A7" s="139">
        <f t="shared" si="1"/>
        <v>2.3379333528989976</v>
      </c>
      <c r="B7" s="139">
        <f t="shared" si="2"/>
        <v>8.5604875695632838</v>
      </c>
      <c r="C7" s="155">
        <f t="shared" si="3"/>
        <v>5.214567910612284</v>
      </c>
      <c r="D7" s="156">
        <f t="shared" si="4"/>
        <v>4.6835350302238892</v>
      </c>
      <c r="E7" s="49" t="s">
        <v>366</v>
      </c>
      <c r="F7" s="73">
        <f t="shared" ref="F7:K7" si="7">F11/F14</f>
        <v>2.3379333528989976</v>
      </c>
      <c r="G7" s="73">
        <f t="shared" si="7"/>
        <v>3.7448241445629726</v>
      </c>
      <c r="H7" s="73">
        <f t="shared" si="7"/>
        <v>2.8320965702674932</v>
      </c>
      <c r="I7" s="73">
        <f t="shared" si="7"/>
        <v>8.5604875695632838</v>
      </c>
      <c r="J7" s="73">
        <f t="shared" si="7"/>
        <v>5.6222459158848057</v>
      </c>
      <c r="K7" s="73">
        <f t="shared" si="7"/>
        <v>8.1898199104961478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342106.56</v>
      </c>
      <c r="G10" s="76">
        <f t="shared" si="8"/>
        <v>288696.88</v>
      </c>
      <c r="H10" s="76">
        <f t="shared" si="8"/>
        <v>305460.96999999997</v>
      </c>
      <c r="I10" s="76">
        <f t="shared" si="8"/>
        <v>176457.64</v>
      </c>
      <c r="J10" s="76">
        <f t="shared" si="8"/>
        <v>241239.16</v>
      </c>
      <c r="K10" s="76">
        <f t="shared" si="8"/>
        <v>302422.31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638085.37</v>
      </c>
      <c r="G11" s="76">
        <f t="shared" si="8"/>
        <v>1119984.03</v>
      </c>
      <c r="H11" s="76">
        <f t="shared" si="8"/>
        <v>738699.77</v>
      </c>
      <c r="I11" s="76">
        <f t="shared" si="8"/>
        <v>794124.33</v>
      </c>
      <c r="J11" s="76">
        <f t="shared" si="8"/>
        <v>770187.42</v>
      </c>
      <c r="K11" s="76">
        <f t="shared" si="8"/>
        <v>946318.13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4555.01</v>
      </c>
      <c r="G12" s="76">
        <f t="shared" si="8"/>
        <v>2714.15</v>
      </c>
      <c r="H12" s="76">
        <f t="shared" si="8"/>
        <v>1592.98</v>
      </c>
      <c r="I12" s="76">
        <f t="shared" si="8"/>
        <v>7392.73</v>
      </c>
      <c r="J12" s="76">
        <f t="shared" si="8"/>
        <v>2257.4499999999998</v>
      </c>
      <c r="K12" s="76">
        <f t="shared" si="8"/>
        <v>11066.65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9225</v>
      </c>
      <c r="J13" s="76">
        <f t="shared" si="9"/>
        <v>9225</v>
      </c>
      <c r="K13" s="76">
        <f t="shared" si="9"/>
        <v>9225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272927.09999999998</v>
      </c>
      <c r="G14" s="76">
        <f t="shared" ref="G14:K15" si="10">G130</f>
        <v>299075.20000000001</v>
      </c>
      <c r="H14" s="76">
        <f t="shared" si="10"/>
        <v>260831.42</v>
      </c>
      <c r="I14" s="76">
        <f t="shared" si="10"/>
        <v>92766.25</v>
      </c>
      <c r="J14" s="76">
        <f t="shared" si="10"/>
        <v>136989.28</v>
      </c>
      <c r="K14" s="76">
        <f t="shared" si="10"/>
        <v>115548.1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436022.58</v>
      </c>
      <c r="G15" s="76">
        <f t="shared" si="10"/>
        <v>455701.3</v>
      </c>
      <c r="H15" s="76">
        <f t="shared" si="10"/>
        <v>357702.59</v>
      </c>
      <c r="I15" s="76">
        <f t="shared" si="10"/>
        <v>340352.72</v>
      </c>
      <c r="J15" s="76">
        <f t="shared" si="10"/>
        <v>236706.45</v>
      </c>
      <c r="K15" s="76">
        <f t="shared" si="10"/>
        <v>340044.38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56.636964704412058</v>
      </c>
      <c r="B19" s="152">
        <f t="shared" ref="B19:B25" si="12">MAX(F19:K19)</f>
        <v>109.25871609673545</v>
      </c>
      <c r="C19" s="156">
        <f>AVERAGE(F19:K19)</f>
        <v>86.272421662801705</v>
      </c>
      <c r="D19" s="156">
        <f>MEDIAN(F19:K19)</f>
        <v>93.781316795782317</v>
      </c>
      <c r="E19" s="47" t="s">
        <v>293</v>
      </c>
      <c r="F19" s="71">
        <f>F28/(F27/365)</f>
        <v>96.06142619085702</v>
      </c>
      <c r="G19" s="71">
        <f t="shared" ref="G19:K19" si="13">G28/(G27/365)</f>
        <v>65.423533882157997</v>
      </c>
      <c r="H19" s="71">
        <f t="shared" si="13"/>
        <v>91.5012074007076</v>
      </c>
      <c r="I19" s="71">
        <f t="shared" si="13"/>
        <v>56.636964704412058</v>
      </c>
      <c r="J19" s="71">
        <f t="shared" si="13"/>
        <v>98.752681701940034</v>
      </c>
      <c r="K19" s="71">
        <f t="shared" si="13"/>
        <v>109.25871609673545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29.774844699332174</v>
      </c>
      <c r="B21" s="152">
        <f t="shared" si="12"/>
        <v>78.132371078508257</v>
      </c>
      <c r="C21" s="156">
        <f t="shared" si="14"/>
        <v>58.356890200701052</v>
      </c>
      <c r="D21" s="156">
        <f t="shared" si="15"/>
        <v>61.926404592848868</v>
      </c>
      <c r="E21" s="47" t="s">
        <v>368</v>
      </c>
      <c r="F21" s="71">
        <f>F30/(F27/365)</f>
        <v>76.636257638949246</v>
      </c>
      <c r="G21" s="71">
        <f t="shared" ref="G21:K21" si="17">G30/(G27/365)</f>
        <v>67.775434499026048</v>
      </c>
      <c r="H21" s="71">
        <f t="shared" si="17"/>
        <v>78.132371078508257</v>
      </c>
      <c r="I21" s="71">
        <f t="shared" si="17"/>
        <v>29.774844699332174</v>
      </c>
      <c r="J21" s="71">
        <f t="shared" si="17"/>
        <v>56.077374686671682</v>
      </c>
      <c r="K21" s="71">
        <f t="shared" si="17"/>
        <v>41.745058601718902</v>
      </c>
    </row>
    <row r="22" spans="1:11" s="43" customFormat="1" ht="13.2" x14ac:dyDescent="0.25">
      <c r="A22" s="152">
        <f t="shared" si="11"/>
        <v>-2.3519006168680505</v>
      </c>
      <c r="B22" s="152">
        <f t="shared" si="12"/>
        <v>67.51365749501656</v>
      </c>
      <c r="C22" s="156">
        <f t="shared" si="14"/>
        <v>27.915531462100645</v>
      </c>
      <c r="D22" s="156">
        <f t="shared" si="15"/>
        <v>23.143644278493831</v>
      </c>
      <c r="E22" s="47" t="s">
        <v>294</v>
      </c>
      <c r="F22" s="71">
        <f>F19+F20-F21</f>
        <v>19.425168551907774</v>
      </c>
      <c r="G22" s="71">
        <f t="shared" ref="G22:K22" si="18">G19+G20-G21</f>
        <v>-2.3519006168680505</v>
      </c>
      <c r="H22" s="71">
        <f t="shared" si="18"/>
        <v>13.368836322199343</v>
      </c>
      <c r="I22" s="71">
        <f t="shared" si="18"/>
        <v>26.862120005079884</v>
      </c>
      <c r="J22" s="71">
        <f t="shared" si="18"/>
        <v>42.675307015268352</v>
      </c>
      <c r="K22" s="71">
        <f t="shared" si="18"/>
        <v>67.51365749501656</v>
      </c>
    </row>
    <row r="23" spans="1:11" s="43" customFormat="1" ht="13.2" x14ac:dyDescent="0.25">
      <c r="A23" s="152">
        <f t="shared" si="11"/>
        <v>0.79801051028932202</v>
      </c>
      <c r="B23" s="152">
        <f t="shared" si="12"/>
        <v>1.3200202581995331</v>
      </c>
      <c r="C23" s="156">
        <f t="shared" si="14"/>
        <v>1.0772910018681623</v>
      </c>
      <c r="D23" s="156">
        <f t="shared" si="15"/>
        <v>1.1515991857757881</v>
      </c>
      <c r="E23" s="47" t="s">
        <v>295</v>
      </c>
      <c r="F23" s="71">
        <f>F27/F31</f>
        <v>1.3200202581995331</v>
      </c>
      <c r="G23" s="71">
        <f t="shared" ref="G23:K23" si="19">G27/G31</f>
        <v>1.1411752992815491</v>
      </c>
      <c r="H23" s="71">
        <f t="shared" si="19"/>
        <v>1.1651781931982992</v>
      </c>
      <c r="I23" s="71">
        <f t="shared" si="19"/>
        <v>1.1620230722700269</v>
      </c>
      <c r="J23" s="71">
        <f t="shared" si="19"/>
        <v>0.87733867797024356</v>
      </c>
      <c r="K23" s="71">
        <f t="shared" si="19"/>
        <v>0.79801051028932202</v>
      </c>
    </row>
    <row r="24" spans="1:11" s="43" customFormat="1" ht="13.2" x14ac:dyDescent="0.25">
      <c r="A24" s="152">
        <f t="shared" si="11"/>
        <v>162.50481659307869</v>
      </c>
      <c r="B24" s="152">
        <f t="shared" si="12"/>
        <v>1734.8714091748159</v>
      </c>
      <c r="C24" s="156">
        <f t="shared" si="14"/>
        <v>745.81343053700459</v>
      </c>
      <c r="D24" s="156">
        <f t="shared" si="15"/>
        <v>340.06406584311918</v>
      </c>
      <c r="E24" s="121" t="s">
        <v>369</v>
      </c>
      <c r="F24" s="162"/>
      <c r="G24" s="162"/>
      <c r="H24" s="162"/>
      <c r="I24" s="71">
        <f t="shared" ref="I24:K24" si="20">I27/I32</f>
        <v>1734.8714091748159</v>
      </c>
      <c r="J24" s="71">
        <f t="shared" si="20"/>
        <v>340.06406584311918</v>
      </c>
      <c r="K24" s="71">
        <f t="shared" si="20"/>
        <v>162.50481659307869</v>
      </c>
    </row>
    <row r="25" spans="1:11" s="43" customFormat="1" ht="13.8" thickBot="1" x14ac:dyDescent="0.3">
      <c r="A25" s="152">
        <f t="shared" si="11"/>
        <v>0.80194863008748418</v>
      </c>
      <c r="B25" s="152">
        <f t="shared" si="12"/>
        <v>1.3200202581995331</v>
      </c>
      <c r="C25" s="156">
        <f t="shared" si="14"/>
        <v>1.0784553832818551</v>
      </c>
      <c r="D25" s="156">
        <f t="shared" si="15"/>
        <v>1.1519886102177712</v>
      </c>
      <c r="E25" s="49" t="s">
        <v>296</v>
      </c>
      <c r="F25" s="73">
        <f>F27/F33</f>
        <v>1.3200202581995331</v>
      </c>
      <c r="G25" s="73">
        <f t="shared" ref="G25:K25" si="21">G27/G33</f>
        <v>1.1411752992815491</v>
      </c>
      <c r="H25" s="73">
        <f t="shared" si="21"/>
        <v>1.1651781931982992</v>
      </c>
      <c r="I25" s="73">
        <f t="shared" si="21"/>
        <v>1.1628019211539933</v>
      </c>
      <c r="J25" s="73">
        <f t="shared" si="21"/>
        <v>0.87960799777027165</v>
      </c>
      <c r="K25" s="73">
        <f t="shared" si="21"/>
        <v>0.80194863008748418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1299885.9099999999</v>
      </c>
      <c r="G27" s="76">
        <f t="shared" ref="G27:K27" si="22">G93+G86</f>
        <v>1610649.18</v>
      </c>
      <c r="H27" s="76">
        <f t="shared" si="22"/>
        <v>1218489.43</v>
      </c>
      <c r="I27" s="76">
        <f t="shared" si="22"/>
        <v>1137190.8600000001</v>
      </c>
      <c r="J27" s="76">
        <f t="shared" si="22"/>
        <v>891644.58</v>
      </c>
      <c r="K27" s="76">
        <f t="shared" si="22"/>
        <v>1010300.57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342106.56</v>
      </c>
      <c r="G28" s="76">
        <f t="shared" ref="G28:K28" si="23">G116</f>
        <v>288696.88</v>
      </c>
      <c r="H28" s="76">
        <f t="shared" si="23"/>
        <v>305460.96999999997</v>
      </c>
      <c r="I28" s="76">
        <f t="shared" si="23"/>
        <v>176457.64</v>
      </c>
      <c r="J28" s="76">
        <f t="shared" si="23"/>
        <v>241239.16</v>
      </c>
      <c r="K28" s="76">
        <f t="shared" si="23"/>
        <v>302422.31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272927.09999999998</v>
      </c>
      <c r="G30" s="76">
        <f t="shared" ref="G30:K30" si="25">G130</f>
        <v>299075.20000000001</v>
      </c>
      <c r="H30" s="76">
        <f t="shared" si="25"/>
        <v>260831.42</v>
      </c>
      <c r="I30" s="76">
        <f t="shared" si="25"/>
        <v>92766.25</v>
      </c>
      <c r="J30" s="76">
        <f t="shared" si="25"/>
        <v>136989.28</v>
      </c>
      <c r="K30" s="76">
        <f t="shared" si="25"/>
        <v>115548.1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984746.94</v>
      </c>
      <c r="G31" s="76">
        <f t="shared" ref="G31:K31" si="26">G120</f>
        <v>1411395.06</v>
      </c>
      <c r="H31" s="76">
        <f t="shared" si="26"/>
        <v>1045753.72</v>
      </c>
      <c r="I31" s="76">
        <f t="shared" si="26"/>
        <v>978630.19</v>
      </c>
      <c r="J31" s="76">
        <f t="shared" si="26"/>
        <v>1016306.02</v>
      </c>
      <c r="K31" s="76">
        <f t="shared" si="26"/>
        <v>1266024.1399999999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0</v>
      </c>
      <c r="G32" s="76">
        <f t="shared" ref="G32:K32" si="27">G108</f>
        <v>0</v>
      </c>
      <c r="H32" s="76">
        <f t="shared" si="27"/>
        <v>0</v>
      </c>
      <c r="I32" s="76">
        <f t="shared" si="27"/>
        <v>655.49</v>
      </c>
      <c r="J32" s="76">
        <f t="shared" si="27"/>
        <v>2621.99</v>
      </c>
      <c r="K32" s="76">
        <f t="shared" si="27"/>
        <v>6217.05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984746.94</v>
      </c>
      <c r="G33" s="76">
        <f t="shared" ref="G33:K33" si="28">G114</f>
        <v>1411395.06</v>
      </c>
      <c r="H33" s="76">
        <f t="shared" si="28"/>
        <v>1045753.72</v>
      </c>
      <c r="I33" s="76">
        <f t="shared" si="28"/>
        <v>977974.7</v>
      </c>
      <c r="J33" s="76">
        <f t="shared" si="28"/>
        <v>1013684.03</v>
      </c>
      <c r="K33" s="76">
        <f t="shared" si="28"/>
        <v>1259807.0900000001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9.1268480867987251E-2</v>
      </c>
      <c r="B37" s="139">
        <f t="shared" ref="B37:B41" si="30">MAX(F37:K37)</f>
        <v>0.27715455505756637</v>
      </c>
      <c r="C37" s="160">
        <f t="shared" ref="C37:C41" si="31">AVERAGE(F37:K37)</f>
        <v>0.17655438406861776</v>
      </c>
      <c r="D37" s="160">
        <f t="shared" ref="D37:D41" si="32">MEDIAN(F37:K37)</f>
        <v>0.17334589249316384</v>
      </c>
      <c r="E37" s="47" t="s">
        <v>370</v>
      </c>
      <c r="F37" s="119">
        <f>F43/F44*100%</f>
        <v>0.27715455505756637</v>
      </c>
      <c r="G37" s="119">
        <f t="shared" ref="G37:K37" si="33">G43/G44*100%</f>
        <v>0.21190041574893992</v>
      </c>
      <c r="H37" s="119">
        <f t="shared" si="33"/>
        <v>0.24941954784535694</v>
      </c>
      <c r="I37" s="119">
        <f t="shared" si="33"/>
        <v>9.4791935654468223E-2</v>
      </c>
      <c r="J37" s="119">
        <f t="shared" si="33"/>
        <v>0.13479136923738777</v>
      </c>
      <c r="K37" s="119">
        <f t="shared" si="33"/>
        <v>9.1268480867987251E-2</v>
      </c>
    </row>
    <row r="38" spans="1:11" s="43" customFormat="1" ht="13.2" x14ac:dyDescent="0.25">
      <c r="A38" s="139">
        <f t="shared" si="29"/>
        <v>0.14421759799150946</v>
      </c>
      <c r="B38" s="139">
        <f t="shared" si="30"/>
        <v>0.98959322511035808</v>
      </c>
      <c r="C38" s="155">
        <f t="shared" si="31"/>
        <v>0.43151350700799235</v>
      </c>
      <c r="D38" s="156">
        <f t="shared" si="32"/>
        <v>0.33587947747019498</v>
      </c>
      <c r="E38" s="50" t="s">
        <v>298</v>
      </c>
      <c r="F38" s="122">
        <f>F43/F45</f>
        <v>0.98959322511035808</v>
      </c>
      <c r="G38" s="122">
        <f t="shared" ref="G38:K38" si="34">G43/G45</f>
        <v>0.45547783480259829</v>
      </c>
      <c r="H38" s="122">
        <f t="shared" si="34"/>
        <v>0.61053227155647849</v>
      </c>
      <c r="I38" s="122">
        <f t="shared" si="34"/>
        <v>0.17297899244921863</v>
      </c>
      <c r="J38" s="122">
        <f t="shared" si="34"/>
        <v>0.21628112013779163</v>
      </c>
      <c r="K38" s="122">
        <f t="shared" si="34"/>
        <v>0.14421759799150946</v>
      </c>
    </row>
    <row r="39" spans="1:11" s="43" customFormat="1" ht="13.2" x14ac:dyDescent="0.25">
      <c r="A39" s="139">
        <f t="shared" si="29"/>
        <v>1.5801468000777725</v>
      </c>
      <c r="B39" s="139">
        <f t="shared" si="30"/>
        <v>3.5705464949144163</v>
      </c>
      <c r="C39" s="155">
        <f t="shared" si="31"/>
        <v>2.1962310020680165</v>
      </c>
      <c r="D39" s="156">
        <f t="shared" si="32"/>
        <v>1.9871590982954903</v>
      </c>
      <c r="E39" s="50" t="s">
        <v>299</v>
      </c>
      <c r="F39" s="122">
        <f>F44/F45</f>
        <v>3.5705464949144163</v>
      </c>
      <c r="G39" s="122">
        <f t="shared" ref="G39:K39" si="35">G44/G45</f>
        <v>2.149490047920668</v>
      </c>
      <c r="H39" s="122">
        <f t="shared" si="35"/>
        <v>2.4478124382416717</v>
      </c>
      <c r="I39" s="122">
        <f t="shared" si="35"/>
        <v>1.8248281486703126</v>
      </c>
      <c r="J39" s="122">
        <f t="shared" si="35"/>
        <v>1.6045620825832567</v>
      </c>
      <c r="K39" s="122">
        <f t="shared" si="35"/>
        <v>1.5801468000777725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-136917.60256410256</v>
      </c>
      <c r="B41" s="139">
        <f t="shared" si="30"/>
        <v>1180.8233388191732</v>
      </c>
      <c r="C41" s="155">
        <f t="shared" si="31"/>
        <v>-23020.759594888532</v>
      </c>
      <c r="D41" s="156">
        <f t="shared" si="32"/>
        <v>-415.17272860286431</v>
      </c>
      <c r="E41" s="51" t="s">
        <v>300</v>
      </c>
      <c r="F41" s="123">
        <f>(F47+F48)/F48</f>
        <v>-709.55604276677934</v>
      </c>
      <c r="G41" s="123">
        <f t="shared" ref="G41:K41" si="37">(G47+G48)/G48</f>
        <v>1180.8233388191732</v>
      </c>
      <c r="H41" s="123">
        <f>(H47+H48)/H48</f>
        <v>-136917.60256410256</v>
      </c>
      <c r="I41" s="123">
        <f t="shared" si="37"/>
        <v>-1548.5366486486489</v>
      </c>
      <c r="J41" s="123">
        <f t="shared" si="37"/>
        <v>-120.78941443894928</v>
      </c>
      <c r="K41" s="123">
        <f t="shared" si="37"/>
        <v>-8.8962381934338364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272927.09999999998</v>
      </c>
      <c r="G43" s="76">
        <f t="shared" ref="G43:K43" si="38">G129+G130</f>
        <v>299075.20000000001</v>
      </c>
      <c r="H43" s="76">
        <f t="shared" si="38"/>
        <v>260831.42</v>
      </c>
      <c r="I43" s="76">
        <f t="shared" si="38"/>
        <v>92766.25</v>
      </c>
      <c r="J43" s="76">
        <f t="shared" si="38"/>
        <v>136989.28</v>
      </c>
      <c r="K43" s="76">
        <f t="shared" si="38"/>
        <v>115548.1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984746.94</v>
      </c>
      <c r="G44" s="76">
        <f t="shared" ref="G44:K44" si="39">G120</f>
        <v>1411395.06</v>
      </c>
      <c r="H44" s="76">
        <f t="shared" si="39"/>
        <v>1045753.72</v>
      </c>
      <c r="I44" s="76">
        <f t="shared" si="39"/>
        <v>978630.19</v>
      </c>
      <c r="J44" s="76">
        <f t="shared" si="39"/>
        <v>1016306.02</v>
      </c>
      <c r="K44" s="76">
        <f t="shared" si="39"/>
        <v>1266024.1399999999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275797.26</v>
      </c>
      <c r="G45" s="76">
        <f t="shared" ref="G45:K45" si="40">G122</f>
        <v>656618.56000000006</v>
      </c>
      <c r="H45" s="76">
        <f t="shared" si="40"/>
        <v>427219.71</v>
      </c>
      <c r="I45" s="76">
        <f t="shared" si="40"/>
        <v>536286.22</v>
      </c>
      <c r="J45" s="76">
        <f t="shared" si="40"/>
        <v>633385.29</v>
      </c>
      <c r="K45" s="76">
        <f t="shared" si="40"/>
        <v>801206.66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-380808.3</v>
      </c>
      <c r="G47" s="76">
        <f t="shared" ref="G47:K47" si="42">G102</f>
        <v>229404.85</v>
      </c>
      <c r="H47" s="76">
        <f t="shared" si="42"/>
        <v>-106796.51</v>
      </c>
      <c r="I47" s="76">
        <f t="shared" si="42"/>
        <v>-71666.070000000007</v>
      </c>
      <c r="J47" s="76">
        <f t="shared" si="42"/>
        <v>-167700.37</v>
      </c>
      <c r="K47" s="76">
        <f t="shared" si="42"/>
        <v>-88063.16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535.92999999999995</v>
      </c>
      <c r="G48" s="76">
        <f t="shared" ref="G48:K48" si="43">G101</f>
        <v>194.44</v>
      </c>
      <c r="H48" s="76">
        <f t="shared" si="43"/>
        <v>0.78</v>
      </c>
      <c r="I48" s="76">
        <f t="shared" si="43"/>
        <v>46.25</v>
      </c>
      <c r="J48" s="76">
        <f t="shared" si="43"/>
        <v>1376.97</v>
      </c>
      <c r="K48" s="76">
        <f t="shared" si="43"/>
        <v>8898.65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-0.28628618648353793</v>
      </c>
      <c r="B52" s="139">
        <f t="shared" ref="B52:B63" si="45">MAX(F52:K52)</f>
        <v>0.17490923417364654</v>
      </c>
      <c r="C52" s="160">
        <f t="shared" ref="C52:C63" si="46">AVERAGE(F52:K52)</f>
        <v>-4.6903560119333998E-2</v>
      </c>
      <c r="D52" s="160">
        <f t="shared" ref="D52:D63" si="47">MEDIAN(F52:K52)</f>
        <v>-3.2353301324705763E-2</v>
      </c>
      <c r="E52" s="50" t="s">
        <v>350</v>
      </c>
      <c r="F52" s="119">
        <f t="shared" ref="F52:K52" si="48">(F65/(F70+F71))*100%</f>
        <v>-0.28628618648353793</v>
      </c>
      <c r="G52" s="119">
        <f t="shared" si="48"/>
        <v>0.17490923417364654</v>
      </c>
      <c r="H52" s="119">
        <f t="shared" si="48"/>
        <v>8.1929120838507161E-2</v>
      </c>
      <c r="I52" s="119">
        <f t="shared" si="48"/>
        <v>-1.0523434547690705E-2</v>
      </c>
      <c r="J52" s="119">
        <f t="shared" si="48"/>
        <v>-0.18726692659520822</v>
      </c>
      <c r="K52" s="120">
        <f t="shared" si="48"/>
        <v>-5.4183168101720816E-2</v>
      </c>
    </row>
    <row r="53" spans="1:11" s="43" customFormat="1" ht="13.2" x14ac:dyDescent="0.25">
      <c r="A53" s="139">
        <f t="shared" si="44"/>
        <v>0.41743765804800514</v>
      </c>
      <c r="B53" s="139">
        <f t="shared" si="45"/>
        <v>0.88092059873646733</v>
      </c>
      <c r="C53" s="160">
        <f t="shared" si="46"/>
        <v>0.76916466343184087</v>
      </c>
      <c r="D53" s="160">
        <f t="shared" si="47"/>
        <v>0.82616010042287469</v>
      </c>
      <c r="E53" s="50" t="s">
        <v>351</v>
      </c>
      <c r="F53" s="119">
        <f>(F66/F70)*100%</f>
        <v>0.41743765804800514</v>
      </c>
      <c r="G53" s="119">
        <f t="shared" ref="G53:K53" si="49">(G66/G70)*100%</f>
        <v>0.88092059873646733</v>
      </c>
      <c r="H53" s="119">
        <f t="shared" si="49"/>
        <v>0.84827723126002008</v>
      </c>
      <c r="I53" s="119">
        <f t="shared" si="49"/>
        <v>0.82035015652517629</v>
      </c>
      <c r="J53" s="119">
        <f t="shared" si="49"/>
        <v>0.81603229170080305</v>
      </c>
      <c r="K53" s="120">
        <f t="shared" si="49"/>
        <v>0.83197004432057298</v>
      </c>
    </row>
    <row r="54" spans="1:11" s="43" customFormat="1" ht="13.2" x14ac:dyDescent="0.25">
      <c r="A54" s="139">
        <f t="shared" si="44"/>
        <v>-0.37869021091373639</v>
      </c>
      <c r="B54" s="139">
        <f t="shared" si="45"/>
        <v>-0.25259728782406332</v>
      </c>
      <c r="C54" s="160">
        <f t="shared" si="46"/>
        <v>-0.32601331512311843</v>
      </c>
      <c r="D54" s="160">
        <f t="shared" si="47"/>
        <v>-0.33333944707194707</v>
      </c>
      <c r="E54" s="50" t="s">
        <v>342</v>
      </c>
      <c r="F54" s="119">
        <f>(F67/SUM(F72:F74))*100%</f>
        <v>-0.34198038518398927</v>
      </c>
      <c r="G54" s="119">
        <f t="shared" ref="G54:K54" si="50">(G67/SUM(G72:G74))*100%</f>
        <v>-0.3491833962447351</v>
      </c>
      <c r="H54" s="119">
        <f t="shared" si="50"/>
        <v>-0.25259728782406332</v>
      </c>
      <c r="I54" s="119">
        <f t="shared" si="50"/>
        <v>-0.32469850895990487</v>
      </c>
      <c r="J54" s="119">
        <f t="shared" si="50"/>
        <v>-0.37869021091373639</v>
      </c>
      <c r="K54" s="120">
        <f t="shared" si="50"/>
        <v>-0.30893010161228135</v>
      </c>
    </row>
    <row r="55" spans="1:11" s="43" customFormat="1" ht="13.2" x14ac:dyDescent="0.25">
      <c r="A55" s="139">
        <f t="shared" si="44"/>
        <v>-0.27467389549589744</v>
      </c>
      <c r="B55" s="139">
        <f t="shared" si="45"/>
        <v>-0.20165881746627454</v>
      </c>
      <c r="C55" s="160">
        <f t="shared" si="46"/>
        <v>-0.24518412903131234</v>
      </c>
      <c r="D55" s="160">
        <f t="shared" si="47"/>
        <v>-0.24997193843330084</v>
      </c>
      <c r="E55" s="50" t="s">
        <v>343</v>
      </c>
      <c r="F55" s="119">
        <f>((F72-F76)/F76)*100%</f>
        <v>-0.25483262569229193</v>
      </c>
      <c r="G55" s="119">
        <f t="shared" ref="G55:K55" si="51">((G72-G76)/G76)*100%</f>
        <v>-0.25881092015854823</v>
      </c>
      <c r="H55" s="119">
        <f t="shared" si="51"/>
        <v>-0.20165881746627454</v>
      </c>
      <c r="I55" s="119">
        <f t="shared" si="51"/>
        <v>-0.24511125117430976</v>
      </c>
      <c r="J55" s="119">
        <f t="shared" si="51"/>
        <v>-0.27467389549589744</v>
      </c>
      <c r="K55" s="120">
        <f t="shared" si="51"/>
        <v>-0.23601726420055211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-0.11821907686858422</v>
      </c>
      <c r="B58" s="139">
        <f t="shared" si="45"/>
        <v>7.8811505165993528E-2</v>
      </c>
      <c r="C58" s="155">
        <f t="shared" si="46"/>
        <v>-4.1133845163616511E-2</v>
      </c>
      <c r="D58" s="156">
        <f t="shared" si="47"/>
        <v>-4.2241532378919686E-2</v>
      </c>
      <c r="E58" s="50" t="s">
        <v>356</v>
      </c>
      <c r="F58" s="71">
        <f>F68/(F70+F71+F72+F73+F74+F75)</f>
        <v>-0.11821907686858422</v>
      </c>
      <c r="G58" s="71">
        <f t="shared" ref="G58:K58" si="52">G68/(G70+G71+G72+G73+G74)</f>
        <v>7.8811505165993528E-2</v>
      </c>
      <c r="H58" s="71">
        <f t="shared" si="52"/>
        <v>-4.3762575825801488E-2</v>
      </c>
      <c r="I58" s="71">
        <f t="shared" si="52"/>
        <v>-3.282508232141159E-2</v>
      </c>
      <c r="J58" s="71">
        <f t="shared" si="52"/>
        <v>-9.0087352199857376E-2</v>
      </c>
      <c r="K58" s="72">
        <f t="shared" si="52"/>
        <v>-4.0720488932037884E-2</v>
      </c>
    </row>
    <row r="59" spans="1:11" s="43" customFormat="1" ht="13.2" x14ac:dyDescent="0.25">
      <c r="A59" s="139">
        <f t="shared" si="44"/>
        <v>-0.11822311262095436</v>
      </c>
      <c r="B59" s="139">
        <f t="shared" si="45"/>
        <v>7.8783622981424412E-2</v>
      </c>
      <c r="C59" s="155">
        <f t="shared" si="46"/>
        <v>-4.142881410808584E-2</v>
      </c>
      <c r="D59" s="156">
        <f t="shared" si="47"/>
        <v>-4.300131548918075E-2</v>
      </c>
      <c r="E59" s="50" t="s">
        <v>361</v>
      </c>
      <c r="F59" s="71">
        <f>F69/(F70+F71+F72+F73+F74+F75)</f>
        <v>-0.11822311262095436</v>
      </c>
      <c r="G59" s="71">
        <f t="shared" ref="G59:K59" si="53">G69/(G70+G71+G72+G73+G74+G75)</f>
        <v>7.8783622981424412E-2</v>
      </c>
      <c r="H59" s="71">
        <f t="shared" si="53"/>
        <v>-4.467744228315778E-2</v>
      </c>
      <c r="I59" s="71">
        <f t="shared" si="53"/>
        <v>-3.3010073101085932E-2</v>
      </c>
      <c r="J59" s="71">
        <f t="shared" si="53"/>
        <v>-9.0120690929537672E-2</v>
      </c>
      <c r="K59" s="72">
        <f t="shared" si="53"/>
        <v>-4.132518869520372E-2</v>
      </c>
    </row>
    <row r="60" spans="1:11" s="43" customFormat="1" ht="26.4" x14ac:dyDescent="0.25">
      <c r="A60" s="139">
        <f t="shared" si="44"/>
        <v>-0.37824631371791828</v>
      </c>
      <c r="B60" s="139">
        <f t="shared" si="45"/>
        <v>0.19960222901729582</v>
      </c>
      <c r="C60" s="160">
        <f t="shared" si="46"/>
        <v>-5.0490464047704887E-2</v>
      </c>
      <c r="D60" s="160">
        <f t="shared" si="47"/>
        <v>-2.7733623701988199E-2</v>
      </c>
      <c r="E60" s="50" t="s">
        <v>372</v>
      </c>
      <c r="F60" s="119">
        <f>F65/F79*100%</f>
        <v>-0.37824631371791828</v>
      </c>
      <c r="G60" s="119">
        <f t="shared" ref="G60:K60" si="54">G65/G79*100%</f>
        <v>0.19960222901729582</v>
      </c>
      <c r="H60" s="119">
        <f t="shared" si="54"/>
        <v>9.546515407088392E-2</v>
      </c>
      <c r="I60" s="119">
        <f t="shared" si="54"/>
        <v>-1.2228490518977349E-2</v>
      </c>
      <c r="J60" s="119">
        <f t="shared" si="54"/>
        <v>-0.16429660625251438</v>
      </c>
      <c r="K60" s="120">
        <f t="shared" si="54"/>
        <v>-4.3238756884999049E-2</v>
      </c>
    </row>
    <row r="61" spans="1:11" s="43" customFormat="1" ht="13.2" x14ac:dyDescent="0.25">
      <c r="A61" s="139">
        <f t="shared" si="44"/>
        <v>-0.38671996279572091</v>
      </c>
      <c r="B61" s="139">
        <f t="shared" si="45"/>
        <v>0.16253340861204374</v>
      </c>
      <c r="C61" s="155">
        <f t="shared" si="46"/>
        <v>-0.10631612414737816</v>
      </c>
      <c r="D61" s="156">
        <f t="shared" si="47"/>
        <v>-8.8984049970443707E-2</v>
      </c>
      <c r="E61" s="50" t="s">
        <v>373</v>
      </c>
      <c r="F61" s="71">
        <f>F69/F79</f>
        <v>-0.38671996279572091</v>
      </c>
      <c r="G61" s="71">
        <f t="shared" ref="G61:K61" si="55">G69/G79</f>
        <v>0.16253340861204374</v>
      </c>
      <c r="H61" s="71">
        <f t="shared" si="55"/>
        <v>-0.10429464214576258</v>
      </c>
      <c r="I61" s="71">
        <f t="shared" si="55"/>
        <v>-7.3673457795124853E-2</v>
      </c>
      <c r="J61" s="71">
        <f t="shared" si="55"/>
        <v>-0.16512877686191407</v>
      </c>
      <c r="K61" s="72">
        <f t="shared" si="55"/>
        <v>-7.0613313897790297E-2</v>
      </c>
    </row>
    <row r="62" spans="1:11" s="43" customFormat="1" ht="13.2" x14ac:dyDescent="0.25">
      <c r="A62" s="139">
        <f t="shared" si="44"/>
        <v>-1.3808016076736946</v>
      </c>
      <c r="B62" s="139">
        <f t="shared" si="45"/>
        <v>2.419403449339919</v>
      </c>
      <c r="C62" s="155">
        <f t="shared" si="46"/>
        <v>1.1894758526859304</v>
      </c>
      <c r="D62" s="156">
        <f t="shared" si="47"/>
        <v>1.4441555756592275</v>
      </c>
      <c r="E62" s="50" t="s">
        <v>374</v>
      </c>
      <c r="F62" s="71">
        <f>F69/F80</f>
        <v>-1.3808016076736946</v>
      </c>
      <c r="G62" s="71">
        <f>G66/G80</f>
        <v>2.1608497329103824</v>
      </c>
      <c r="H62" s="71">
        <f>H66/H80</f>
        <v>2.419403449339919</v>
      </c>
      <c r="I62" s="71">
        <f>I66/I80</f>
        <v>1.7395462818343532</v>
      </c>
      <c r="J62" s="71">
        <f>J66/J80</f>
        <v>1.1487648694841017</v>
      </c>
      <c r="K62" s="72">
        <f>K66/K80</f>
        <v>1.0490923902205207</v>
      </c>
    </row>
    <row r="63" spans="1:11" s="43" customFormat="1" ht="13.8" thickBot="1" x14ac:dyDescent="0.3">
      <c r="A63" s="139">
        <f t="shared" si="44"/>
        <v>-1.3505460496598118</v>
      </c>
      <c r="B63" s="139">
        <f t="shared" si="45"/>
        <v>0.42904300481545932</v>
      </c>
      <c r="C63" s="155">
        <f t="shared" si="46"/>
        <v>-0.17368080583780518</v>
      </c>
      <c r="D63" s="156">
        <f t="shared" si="47"/>
        <v>-4.5319238522974953E-2</v>
      </c>
      <c r="E63" s="51" t="s">
        <v>302</v>
      </c>
      <c r="F63" s="73">
        <f t="shared" ref="F63:K63" si="56">F65/(F80+F81)</f>
        <v>-1.3505460496598118</v>
      </c>
      <c r="G63" s="73">
        <f t="shared" si="56"/>
        <v>0.42904300481545932</v>
      </c>
      <c r="H63" s="73">
        <f t="shared" si="56"/>
        <v>0.23368079155336721</v>
      </c>
      <c r="I63" s="73">
        <f t="shared" si="56"/>
        <v>-2.2314893714777906E-2</v>
      </c>
      <c r="J63" s="73">
        <f t="shared" si="56"/>
        <v>-0.26362410468989578</v>
      </c>
      <c r="K63" s="74">
        <f t="shared" si="56"/>
        <v>-6.8323583331172E-2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-372476.9</v>
      </c>
      <c r="G65" s="76">
        <f t="shared" ref="G65:K65" si="57">G97</f>
        <v>281717.59999999998</v>
      </c>
      <c r="H65" s="76">
        <f t="shared" si="57"/>
        <v>99833.04</v>
      </c>
      <c r="I65" s="76">
        <f t="shared" si="57"/>
        <v>-11967.17</v>
      </c>
      <c r="J65" s="76">
        <f t="shared" si="57"/>
        <v>-166975.63</v>
      </c>
      <c r="K65" s="76">
        <f t="shared" si="57"/>
        <v>-54741.31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542621.32999999996</v>
      </c>
      <c r="G66" s="76">
        <f t="shared" ref="G66:K66" si="58">G95</f>
        <v>1418854.04</v>
      </c>
      <c r="H66" s="76">
        <f t="shared" si="58"/>
        <v>1033616.84</v>
      </c>
      <c r="I66" s="76">
        <f t="shared" si="58"/>
        <v>932894.7</v>
      </c>
      <c r="J66" s="76">
        <f t="shared" si="58"/>
        <v>727610.77</v>
      </c>
      <c r="K66" s="76">
        <f t="shared" si="58"/>
        <v>840539.81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-656300.6</v>
      </c>
      <c r="G67" s="76">
        <f t="shared" ref="G67:K67" si="59">G92</f>
        <v>-453992.13</v>
      </c>
      <c r="H67" s="76">
        <f t="shared" si="59"/>
        <v>-308631.51</v>
      </c>
      <c r="I67" s="76">
        <f t="shared" si="59"/>
        <v>-339660.35</v>
      </c>
      <c r="J67" s="76">
        <f t="shared" si="59"/>
        <v>-367286.19</v>
      </c>
      <c r="K67" s="76">
        <f t="shared" si="59"/>
        <v>-355987.66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-380808.3</v>
      </c>
      <c r="G68" s="76">
        <f t="shared" ref="G68:K68" si="60">G102</f>
        <v>229404.85</v>
      </c>
      <c r="H68" s="76">
        <f t="shared" si="60"/>
        <v>-106796.51</v>
      </c>
      <c r="I68" s="76">
        <f t="shared" si="60"/>
        <v>-71666.070000000007</v>
      </c>
      <c r="J68" s="76">
        <f t="shared" si="60"/>
        <v>-167700.37</v>
      </c>
      <c r="K68" s="76">
        <f t="shared" si="60"/>
        <v>-88063.16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-380821.3</v>
      </c>
      <c r="G69" s="76">
        <f t="shared" ref="G69:K69" si="61">G104</f>
        <v>229398.85</v>
      </c>
      <c r="H69" s="76">
        <f t="shared" si="61"/>
        <v>-109066.51</v>
      </c>
      <c r="I69" s="76">
        <f t="shared" si="61"/>
        <v>-72099.070000000007</v>
      </c>
      <c r="J69" s="76">
        <f t="shared" si="61"/>
        <v>-167821.37</v>
      </c>
      <c r="K69" s="76">
        <f t="shared" si="61"/>
        <v>-89398.16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1299885.9099999999</v>
      </c>
      <c r="G70" s="76">
        <f t="shared" ref="G70:K70" si="62">G93</f>
        <v>1610649.18</v>
      </c>
      <c r="H70" s="76">
        <f t="shared" si="62"/>
        <v>1218489.43</v>
      </c>
      <c r="I70" s="76">
        <f t="shared" si="62"/>
        <v>1137190.8600000001</v>
      </c>
      <c r="J70" s="76">
        <f t="shared" si="62"/>
        <v>891644.58</v>
      </c>
      <c r="K70" s="76">
        <f t="shared" si="62"/>
        <v>1010300.57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1178.96</v>
      </c>
      <c r="G71" s="76">
        <f t="shared" ref="G71:K71" si="63">G98</f>
        <v>1.06</v>
      </c>
      <c r="H71" s="76">
        <f t="shared" si="63"/>
        <v>39.94</v>
      </c>
      <c r="I71" s="76">
        <f t="shared" si="63"/>
        <v>1.56</v>
      </c>
      <c r="J71" s="76">
        <f t="shared" si="63"/>
        <v>0.48</v>
      </c>
      <c r="K71" s="76">
        <f t="shared" si="63"/>
        <v>0.45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1919117.67</v>
      </c>
      <c r="G72" s="76">
        <f t="shared" ref="G72:K74" si="64">G85</f>
        <v>1300153.83</v>
      </c>
      <c r="H72" s="76">
        <f t="shared" si="64"/>
        <v>1221832.24</v>
      </c>
      <c r="I72" s="76">
        <f t="shared" si="64"/>
        <v>1046079.18</v>
      </c>
      <c r="J72" s="76">
        <f t="shared" si="64"/>
        <v>969885.62</v>
      </c>
      <c r="K72" s="76">
        <f t="shared" si="64"/>
        <v>1152324.29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1026</v>
      </c>
      <c r="G75" s="76">
        <f t="shared" ref="G75:K75" si="65">G100</f>
        <v>954</v>
      </c>
      <c r="H75" s="76">
        <f t="shared" si="65"/>
        <v>837</v>
      </c>
      <c r="I75" s="76">
        <f t="shared" si="65"/>
        <v>882</v>
      </c>
      <c r="J75" s="76">
        <f t="shared" si="65"/>
        <v>654</v>
      </c>
      <c r="K75" s="76">
        <f t="shared" si="65"/>
        <v>659.67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2575418.27</v>
      </c>
      <c r="G76" s="76">
        <f t="shared" ref="G76:K78" si="66">G89</f>
        <v>1754145.96</v>
      </c>
      <c r="H76" s="76">
        <f t="shared" si="66"/>
        <v>1530463.75</v>
      </c>
      <c r="I76" s="76">
        <f t="shared" si="66"/>
        <v>1385739.53</v>
      </c>
      <c r="J76" s="76">
        <f t="shared" si="66"/>
        <v>1337171.81</v>
      </c>
      <c r="K76" s="76">
        <f t="shared" si="66"/>
        <v>1508311.95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984746.94</v>
      </c>
      <c r="G79" s="76">
        <f t="shared" ref="G79:K79" si="67">G120</f>
        <v>1411395.06</v>
      </c>
      <c r="H79" s="76">
        <f t="shared" si="67"/>
        <v>1045753.72</v>
      </c>
      <c r="I79" s="76">
        <f t="shared" si="67"/>
        <v>978630.19</v>
      </c>
      <c r="J79" s="76">
        <f t="shared" si="67"/>
        <v>1016306.02</v>
      </c>
      <c r="K79" s="76">
        <f t="shared" si="67"/>
        <v>1266024.1399999999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275797.26</v>
      </c>
      <c r="G80" s="76">
        <f t="shared" ref="G80:K80" si="68">G122</f>
        <v>656618.56000000006</v>
      </c>
      <c r="H80" s="76">
        <f t="shared" si="68"/>
        <v>427219.71</v>
      </c>
      <c r="I80" s="76">
        <f t="shared" si="68"/>
        <v>536286.22</v>
      </c>
      <c r="J80" s="76">
        <f t="shared" si="68"/>
        <v>633385.29</v>
      </c>
      <c r="K80" s="76">
        <f t="shared" si="68"/>
        <v>801206.66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1919117.67</v>
      </c>
      <c r="G84" s="90">
        <v>1300153.83</v>
      </c>
      <c r="H84" s="90">
        <v>1221832.24</v>
      </c>
      <c r="I84" s="90">
        <v>1046079.18</v>
      </c>
      <c r="J84" s="90">
        <v>969885.62</v>
      </c>
      <c r="K84" s="90">
        <v>1152324.29</v>
      </c>
    </row>
    <row r="85" spans="3:11" x14ac:dyDescent="0.3">
      <c r="E85" s="11" t="s">
        <v>3</v>
      </c>
      <c r="F85" s="90">
        <v>1919117.67</v>
      </c>
      <c r="G85" s="90">
        <v>1300153.83</v>
      </c>
      <c r="H85" s="90">
        <v>1221832.24</v>
      </c>
      <c r="I85" s="90">
        <v>1046079.18</v>
      </c>
      <c r="J85" s="90">
        <v>969885.62</v>
      </c>
      <c r="K85" s="90">
        <v>1152324.29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2575418.27</v>
      </c>
      <c r="G88" s="90">
        <v>1754145.96</v>
      </c>
      <c r="H88" s="90">
        <v>1530463.75</v>
      </c>
      <c r="I88" s="90">
        <v>1385739.53</v>
      </c>
      <c r="J88" s="90">
        <v>1337171.81</v>
      </c>
      <c r="K88" s="90">
        <v>1508311.95</v>
      </c>
    </row>
    <row r="89" spans="3:11" x14ac:dyDescent="0.3">
      <c r="E89" s="11" t="s">
        <v>7</v>
      </c>
      <c r="F89" s="90">
        <v>2575418.27</v>
      </c>
      <c r="G89" s="90">
        <v>1754145.96</v>
      </c>
      <c r="H89" s="90">
        <v>1530463.75</v>
      </c>
      <c r="I89" s="90">
        <v>1385739.53</v>
      </c>
      <c r="J89" s="90">
        <v>1337171.81</v>
      </c>
      <c r="K89" s="90">
        <v>1508311.95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-656300.6</v>
      </c>
      <c r="G92" s="90">
        <v>-453992.13</v>
      </c>
      <c r="H92" s="90">
        <v>-308631.51</v>
      </c>
      <c r="I92" s="90">
        <v>-339660.35</v>
      </c>
      <c r="J92" s="90">
        <v>-367286.19</v>
      </c>
      <c r="K92" s="90">
        <v>-355987.66</v>
      </c>
    </row>
    <row r="93" spans="3:11" x14ac:dyDescent="0.3">
      <c r="E93" s="11" t="s">
        <v>11</v>
      </c>
      <c r="F93" s="90">
        <v>1299885.9099999999</v>
      </c>
      <c r="G93" s="90">
        <v>1610649.18</v>
      </c>
      <c r="H93" s="90">
        <v>1218489.43</v>
      </c>
      <c r="I93" s="90">
        <v>1137190.8600000001</v>
      </c>
      <c r="J93" s="90">
        <v>891644.58</v>
      </c>
      <c r="K93" s="90">
        <v>1010300.57</v>
      </c>
    </row>
    <row r="94" spans="3:11" x14ac:dyDescent="0.3">
      <c r="E94" s="11" t="s">
        <v>12</v>
      </c>
      <c r="F94" s="90">
        <v>757264.58</v>
      </c>
      <c r="G94" s="90">
        <v>191795.14</v>
      </c>
      <c r="H94" s="90">
        <v>184872.59</v>
      </c>
      <c r="I94" s="90">
        <v>204296.16</v>
      </c>
      <c r="J94" s="90">
        <v>164033.81</v>
      </c>
      <c r="K94" s="90">
        <v>169760.76</v>
      </c>
    </row>
    <row r="95" spans="3:11" x14ac:dyDescent="0.3">
      <c r="E95" s="11" t="s">
        <v>13</v>
      </c>
      <c r="F95" s="90">
        <v>542621.32999999996</v>
      </c>
      <c r="G95" s="90">
        <v>1418854.04</v>
      </c>
      <c r="H95" s="90">
        <v>1033616.84</v>
      </c>
      <c r="I95" s="90">
        <v>932894.7</v>
      </c>
      <c r="J95" s="90">
        <v>727610.77</v>
      </c>
      <c r="K95" s="90">
        <v>840539.81</v>
      </c>
    </row>
    <row r="96" spans="3:11" x14ac:dyDescent="0.3">
      <c r="E96" s="11" t="s">
        <v>14</v>
      </c>
      <c r="F96" s="90">
        <v>258797.63</v>
      </c>
      <c r="G96" s="90">
        <v>683144.31</v>
      </c>
      <c r="H96" s="90">
        <v>625152.29</v>
      </c>
      <c r="I96" s="90">
        <v>605201.52</v>
      </c>
      <c r="J96" s="90">
        <v>527300.21</v>
      </c>
      <c r="K96" s="90">
        <v>539293.46</v>
      </c>
    </row>
    <row r="97" spans="5:11" x14ac:dyDescent="0.3">
      <c r="E97" s="11" t="s">
        <v>15</v>
      </c>
      <c r="F97" s="90">
        <v>-372476.9</v>
      </c>
      <c r="G97" s="90">
        <v>281717.59999999998</v>
      </c>
      <c r="H97" s="90">
        <v>99833.04</v>
      </c>
      <c r="I97" s="90">
        <v>-11967.17</v>
      </c>
      <c r="J97" s="90">
        <v>-166975.63</v>
      </c>
      <c r="K97" s="90">
        <v>-54741.31</v>
      </c>
    </row>
    <row r="98" spans="5:11" x14ac:dyDescent="0.3">
      <c r="E98" s="11" t="s">
        <v>16</v>
      </c>
      <c r="F98" s="90">
        <v>1178.96</v>
      </c>
      <c r="G98" s="107">
        <v>1.06</v>
      </c>
      <c r="H98" s="107">
        <v>39.94</v>
      </c>
      <c r="I98" s="107">
        <v>1.56</v>
      </c>
      <c r="J98" s="107">
        <v>0.48</v>
      </c>
      <c r="K98" s="107">
        <v>0.45</v>
      </c>
    </row>
    <row r="99" spans="5:11" x14ac:dyDescent="0.3">
      <c r="E99" s="11" t="s">
        <v>17</v>
      </c>
      <c r="F99" s="90">
        <v>10000.43</v>
      </c>
      <c r="G99" s="90">
        <v>53073.37</v>
      </c>
      <c r="H99" s="90">
        <v>207505.71</v>
      </c>
      <c r="I99" s="90">
        <v>60536.21</v>
      </c>
      <c r="J99" s="107">
        <v>2.25</v>
      </c>
      <c r="K99" s="90">
        <v>25083.32</v>
      </c>
    </row>
    <row r="100" spans="5:11" x14ac:dyDescent="0.3">
      <c r="E100" s="11" t="s">
        <v>18</v>
      </c>
      <c r="F100" s="90">
        <v>1026</v>
      </c>
      <c r="G100" s="107">
        <v>954</v>
      </c>
      <c r="H100" s="107">
        <v>837</v>
      </c>
      <c r="I100" s="107">
        <v>882</v>
      </c>
      <c r="J100" s="107">
        <v>654</v>
      </c>
      <c r="K100" s="107">
        <v>659.67</v>
      </c>
    </row>
    <row r="101" spans="5:11" x14ac:dyDescent="0.3">
      <c r="E101" s="11" t="s">
        <v>19</v>
      </c>
      <c r="F101" s="107">
        <v>535.92999999999995</v>
      </c>
      <c r="G101" s="107">
        <v>194.44</v>
      </c>
      <c r="H101" s="107">
        <v>0.78</v>
      </c>
      <c r="I101" s="107">
        <v>46.25</v>
      </c>
      <c r="J101" s="90">
        <v>1376.97</v>
      </c>
      <c r="K101" s="90">
        <v>8898.65</v>
      </c>
    </row>
    <row r="102" spans="5:11" x14ac:dyDescent="0.3">
      <c r="E102" s="11" t="s">
        <v>20</v>
      </c>
      <c r="F102" s="90">
        <v>-380808.3</v>
      </c>
      <c r="G102" s="90">
        <v>229404.85</v>
      </c>
      <c r="H102" s="90">
        <v>-106796.51</v>
      </c>
      <c r="I102" s="90">
        <v>-71666.070000000007</v>
      </c>
      <c r="J102" s="90">
        <v>-167700.37</v>
      </c>
      <c r="K102" s="90">
        <v>-88063.16</v>
      </c>
    </row>
    <row r="103" spans="5:11" x14ac:dyDescent="0.3">
      <c r="E103" s="11" t="s">
        <v>21</v>
      </c>
      <c r="F103" s="107">
        <v>13</v>
      </c>
      <c r="G103" s="107">
        <v>6</v>
      </c>
      <c r="H103" s="90">
        <v>2270</v>
      </c>
      <c r="I103" s="107">
        <v>433</v>
      </c>
      <c r="J103" s="107">
        <v>121</v>
      </c>
      <c r="K103" s="90">
        <v>1335</v>
      </c>
    </row>
    <row r="104" spans="5:11" x14ac:dyDescent="0.3">
      <c r="E104" s="11" t="s">
        <v>22</v>
      </c>
      <c r="F104" s="90">
        <v>-380821.3</v>
      </c>
      <c r="G104" s="90">
        <v>229398.85</v>
      </c>
      <c r="H104" s="90">
        <v>-109066.51</v>
      </c>
      <c r="I104" s="90">
        <v>-72099.070000000007</v>
      </c>
      <c r="J104" s="90">
        <v>-167821.37</v>
      </c>
      <c r="K104" s="90">
        <v>-89398.16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107">
        <v>0</v>
      </c>
      <c r="G108" s="107">
        <v>0</v>
      </c>
      <c r="H108" s="107">
        <v>0</v>
      </c>
      <c r="I108" s="107">
        <v>655.49</v>
      </c>
      <c r="J108" s="90">
        <v>2621.99</v>
      </c>
      <c r="K108" s="90">
        <v>6217.05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107">
        <v>0</v>
      </c>
      <c r="G110" s="107">
        <v>0</v>
      </c>
      <c r="H110" s="107">
        <v>0</v>
      </c>
      <c r="I110" s="107">
        <v>655.49</v>
      </c>
      <c r="J110" s="90">
        <v>2621.99</v>
      </c>
      <c r="K110" s="90">
        <v>6217.05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984746.94</v>
      </c>
      <c r="G114" s="90">
        <v>1411395.06</v>
      </c>
      <c r="H114" s="90">
        <v>1045753.72</v>
      </c>
      <c r="I114" s="90">
        <v>977974.7</v>
      </c>
      <c r="J114" s="90">
        <v>1013684.03</v>
      </c>
      <c r="K114" s="90">
        <v>1259807.0900000001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342106.56</v>
      </c>
      <c r="G116" s="90">
        <v>288696.88</v>
      </c>
      <c r="H116" s="90">
        <v>305460.96999999997</v>
      </c>
      <c r="I116" s="90">
        <v>176457.64</v>
      </c>
      <c r="J116" s="90">
        <v>241239.16</v>
      </c>
      <c r="K116" s="90">
        <v>302422.31</v>
      </c>
    </row>
    <row r="117" spans="5:11" ht="15" customHeight="1" x14ac:dyDescent="0.3">
      <c r="E117" s="8" t="s">
        <v>36</v>
      </c>
      <c r="F117" s="90">
        <v>638085.37</v>
      </c>
      <c r="G117" s="90">
        <v>1119984.03</v>
      </c>
      <c r="H117" s="90">
        <v>738699.77</v>
      </c>
      <c r="I117" s="90">
        <v>794124.33</v>
      </c>
      <c r="J117" s="90">
        <v>770187.42</v>
      </c>
      <c r="K117" s="90">
        <v>946318.13</v>
      </c>
    </row>
    <row r="118" spans="5:11" ht="15" customHeight="1" x14ac:dyDescent="0.3">
      <c r="E118" s="8" t="s">
        <v>37</v>
      </c>
      <c r="F118" s="90">
        <v>4555.01</v>
      </c>
      <c r="G118" s="90">
        <v>2714.15</v>
      </c>
      <c r="H118" s="90">
        <v>1592.98</v>
      </c>
      <c r="I118" s="90">
        <v>7392.73</v>
      </c>
      <c r="J118" s="90">
        <v>2257.4499999999998</v>
      </c>
      <c r="K118" s="90">
        <v>11066.65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984746.94</v>
      </c>
      <c r="G120" s="90">
        <v>1411395.06</v>
      </c>
      <c r="H120" s="90">
        <v>1045753.72</v>
      </c>
      <c r="I120" s="90">
        <v>978630.19</v>
      </c>
      <c r="J120" s="90">
        <v>1016306.02</v>
      </c>
      <c r="K120" s="90">
        <v>1266024.1399999999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275797.26</v>
      </c>
      <c r="G122" s="90">
        <v>656618.56000000006</v>
      </c>
      <c r="H122" s="90">
        <v>427219.71</v>
      </c>
      <c r="I122" s="90">
        <v>536286.22</v>
      </c>
      <c r="J122" s="90">
        <v>633385.29</v>
      </c>
      <c r="K122" s="90">
        <v>801206.66</v>
      </c>
    </row>
    <row r="123" spans="5:11" x14ac:dyDescent="0.3">
      <c r="E123" s="8" t="s">
        <v>42</v>
      </c>
      <c r="F123" s="90">
        <v>656618.56000000006</v>
      </c>
      <c r="G123" s="90">
        <v>427219.71</v>
      </c>
      <c r="H123" s="90">
        <v>536286.22</v>
      </c>
      <c r="I123" s="90">
        <v>608385.29</v>
      </c>
      <c r="J123" s="90">
        <v>801206.66</v>
      </c>
      <c r="K123" s="90">
        <v>890604.82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-380821.3</v>
      </c>
      <c r="G126" s="90">
        <v>229398.85</v>
      </c>
      <c r="H126" s="90">
        <v>-109066.51</v>
      </c>
      <c r="I126" s="90">
        <v>-72099.070000000007</v>
      </c>
      <c r="J126" s="90">
        <v>-167821.37</v>
      </c>
      <c r="K126" s="90">
        <v>-89398.16</v>
      </c>
    </row>
    <row r="127" spans="5:11" ht="15" customHeight="1" x14ac:dyDescent="0.3">
      <c r="E127" s="18" t="s">
        <v>91</v>
      </c>
      <c r="F127" s="90">
        <v>708949.68</v>
      </c>
      <c r="G127" s="90">
        <v>754776.5</v>
      </c>
      <c r="H127" s="90">
        <v>618534.01</v>
      </c>
      <c r="I127" s="90">
        <v>442343.97</v>
      </c>
      <c r="J127" s="90">
        <v>382920.73</v>
      </c>
      <c r="K127" s="90">
        <v>464817.48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90">
        <v>9225</v>
      </c>
      <c r="J128" s="90">
        <v>9225</v>
      </c>
      <c r="K128" s="90">
        <v>9225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272927.09999999998</v>
      </c>
      <c r="G130" s="90">
        <v>299075.20000000001</v>
      </c>
      <c r="H130" s="90">
        <v>260831.42</v>
      </c>
      <c r="I130" s="90">
        <v>92766.25</v>
      </c>
      <c r="J130" s="90">
        <v>136989.28</v>
      </c>
      <c r="K130" s="90">
        <v>115548.1</v>
      </c>
    </row>
    <row r="131" spans="5:11" ht="15" customHeight="1" x14ac:dyDescent="0.3">
      <c r="E131" s="17" t="s">
        <v>88</v>
      </c>
      <c r="F131" s="90">
        <v>436022.58</v>
      </c>
      <c r="G131" s="90">
        <v>455701.3</v>
      </c>
      <c r="H131" s="90">
        <v>357702.59</v>
      </c>
      <c r="I131" s="90">
        <v>340352.72</v>
      </c>
      <c r="J131" s="90">
        <v>236706.45</v>
      </c>
      <c r="K131" s="90">
        <v>340044.38</v>
      </c>
    </row>
    <row r="132" spans="5:11" x14ac:dyDescent="0.3">
      <c r="E132" s="7" t="s">
        <v>47</v>
      </c>
      <c r="F132" s="90">
        <v>984746.94</v>
      </c>
      <c r="G132" s="90">
        <v>1411395.06</v>
      </c>
      <c r="H132" s="90">
        <v>1045753.72</v>
      </c>
      <c r="I132" s="90">
        <v>978630.19</v>
      </c>
      <c r="J132" s="90">
        <v>1016306.02</v>
      </c>
      <c r="K132" s="90">
        <v>1266024.1399999999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8B9F9-0B95-48AB-817B-F8B2A11E404A}">
  <sheetPr>
    <tabColor theme="5" tint="0.79998168889431442"/>
  </sheetPr>
  <dimension ref="A1:L177"/>
  <sheetViews>
    <sheetView topLeftCell="A153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2" width="15.6640625" customWidth="1"/>
    <col min="13" max="13" width="15" customWidth="1"/>
  </cols>
  <sheetData>
    <row r="1" spans="1:11" x14ac:dyDescent="0.3">
      <c r="E1" s="186" t="s">
        <v>425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1.3389570233126959</v>
      </c>
      <c r="B4" s="139">
        <f>MAX(F4:K4)</f>
        <v>63.633452981832534</v>
      </c>
      <c r="C4" s="155">
        <f>AVERAGE(F4:K4)</f>
        <v>20.370848319630458</v>
      </c>
      <c r="D4" s="156">
        <f>MEDIAN(F4:K4)</f>
        <v>10.320706118584646</v>
      </c>
      <c r="E4" s="47" t="s">
        <v>364</v>
      </c>
      <c r="F4" s="71">
        <f>SUM(F9:F12)/SUM(F13:F15)</f>
        <v>1.3389570233126959</v>
      </c>
      <c r="G4" s="71">
        <f t="shared" ref="G4:K4" si="0">SUM(G9:G12)/SUM(G13:G15)</f>
        <v>63.633452981832534</v>
      </c>
      <c r="H4" s="71">
        <f t="shared" si="0"/>
        <v>29.294775985870572</v>
      </c>
      <c r="I4" s="71">
        <f t="shared" si="0"/>
        <v>8.4798898813926122</v>
      </c>
      <c r="J4" s="71">
        <f t="shared" si="0"/>
        <v>12.161522355776677</v>
      </c>
      <c r="K4" s="71">
        <f t="shared" si="0"/>
        <v>7.3164916895976368</v>
      </c>
    </row>
    <row r="5" spans="1:11" s="43" customFormat="1" ht="13.2" x14ac:dyDescent="0.25">
      <c r="A5" s="139">
        <f t="shared" ref="A5:A7" si="1">MIN(F5:K5)</f>
        <v>1.3389570233126959</v>
      </c>
      <c r="B5" s="139">
        <f t="shared" ref="B5:B7" si="2">MAX(F5:K5)</f>
        <v>63.633452981832534</v>
      </c>
      <c r="C5" s="155">
        <f t="shared" ref="C5:C7" si="3">AVERAGEIF(F5:K5,"&gt;0")</f>
        <v>21.099990627339981</v>
      </c>
      <c r="D5" s="156">
        <f t="shared" ref="D5:D7" si="4">_xlfn.AGGREGATE(12,6,F5:K5)</f>
        <v>12.311033943877661</v>
      </c>
      <c r="E5" s="47" t="s">
        <v>363</v>
      </c>
      <c r="F5" s="71">
        <f t="shared" ref="F5:K5" si="5">SUM(F9:F12)/F14</f>
        <v>1.3389570233126959</v>
      </c>
      <c r="G5" s="71">
        <f t="shared" si="5"/>
        <v>63.633452981832534</v>
      </c>
      <c r="H5" s="71">
        <f t="shared" si="5"/>
        <v>29.294775985870572</v>
      </c>
      <c r="I5" s="71">
        <f t="shared" si="5"/>
        <v>11.636136992712355</v>
      </c>
      <c r="J5" s="71">
        <f t="shared" si="5"/>
        <v>12.985930895042967</v>
      </c>
      <c r="K5" s="71">
        <f t="shared" si="5"/>
        <v>7.7106898852687538</v>
      </c>
    </row>
    <row r="6" spans="1:11" s="43" customFormat="1" ht="13.2" x14ac:dyDescent="0.25">
      <c r="A6" s="139">
        <f t="shared" si="1"/>
        <v>1.3389570233126959</v>
      </c>
      <c r="B6" s="139">
        <f t="shared" si="2"/>
        <v>58.902407718046227</v>
      </c>
      <c r="C6" s="155">
        <f t="shared" si="3"/>
        <v>20.225865233716636</v>
      </c>
      <c r="D6" s="156">
        <f t="shared" si="4"/>
        <v>12.232803014635607</v>
      </c>
      <c r="E6" s="47" t="s">
        <v>365</v>
      </c>
      <c r="F6" s="71">
        <f t="shared" ref="F6:K6" si="6">SUM(F10:F11)/F14</f>
        <v>1.3389570233126959</v>
      </c>
      <c r="G6" s="71">
        <f t="shared" si="6"/>
        <v>58.902407718046227</v>
      </c>
      <c r="H6" s="71">
        <f t="shared" si="6"/>
        <v>28.943926122245916</v>
      </c>
      <c r="I6" s="71">
        <f t="shared" si="6"/>
        <v>11.586653410919959</v>
      </c>
      <c r="J6" s="71">
        <f t="shared" si="6"/>
        <v>12.878952618351256</v>
      </c>
      <c r="K6" s="71">
        <f t="shared" si="6"/>
        <v>7.7042945094237467</v>
      </c>
    </row>
    <row r="7" spans="1:11" s="43" customFormat="1" ht="13.8" thickBot="1" x14ac:dyDescent="0.3">
      <c r="A7" s="139">
        <f t="shared" si="1"/>
        <v>0.32754515242046778</v>
      </c>
      <c r="B7" s="139">
        <f t="shared" si="2"/>
        <v>17.08725746902736</v>
      </c>
      <c r="C7" s="155">
        <f t="shared" si="3"/>
        <v>6.4286837613438124</v>
      </c>
      <c r="D7" s="156">
        <f t="shared" si="4"/>
        <v>4.2598880417106679</v>
      </c>
      <c r="E7" s="49" t="s">
        <v>366</v>
      </c>
      <c r="F7" s="73">
        <f t="shared" ref="F7:K7" si="7">F11/F14</f>
        <v>0.32754515242046778</v>
      </c>
      <c r="G7" s="73">
        <f t="shared" si="7"/>
        <v>17.08725746902736</v>
      </c>
      <c r="H7" s="73">
        <f t="shared" si="7"/>
        <v>10.728010660222255</v>
      </c>
      <c r="I7" s="73">
        <f t="shared" si="7"/>
        <v>4.9638414171410243</v>
      </c>
      <c r="J7" s="73">
        <f t="shared" si="7"/>
        <v>3.5559346662803115</v>
      </c>
      <c r="K7" s="73">
        <f t="shared" si="7"/>
        <v>1.9095132029714552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400672.35</v>
      </c>
      <c r="G10" s="76">
        <f t="shared" si="8"/>
        <v>611479.25</v>
      </c>
      <c r="H10" s="76">
        <f t="shared" si="8"/>
        <v>519194.03</v>
      </c>
      <c r="I10" s="76">
        <f t="shared" si="8"/>
        <v>512275.17</v>
      </c>
      <c r="J10" s="76">
        <f t="shared" si="8"/>
        <v>589110.41</v>
      </c>
      <c r="K10" s="76">
        <f t="shared" si="8"/>
        <v>533904.03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129757.51</v>
      </c>
      <c r="G11" s="76">
        <f t="shared" si="8"/>
        <v>249873.63</v>
      </c>
      <c r="H11" s="76">
        <f t="shared" si="8"/>
        <v>305772.12</v>
      </c>
      <c r="I11" s="76">
        <f t="shared" si="8"/>
        <v>383953.63</v>
      </c>
      <c r="J11" s="76">
        <f t="shared" si="8"/>
        <v>224695.28</v>
      </c>
      <c r="K11" s="76">
        <f t="shared" si="8"/>
        <v>175933.61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69183.92</v>
      </c>
      <c r="H12" s="76">
        <f t="shared" si="8"/>
        <v>10000</v>
      </c>
      <c r="I12" s="76">
        <f t="shared" si="8"/>
        <v>3827.56</v>
      </c>
      <c r="J12" s="76">
        <f t="shared" si="8"/>
        <v>6759.83</v>
      </c>
      <c r="K12" s="76">
        <f t="shared" si="8"/>
        <v>589.24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396151.52</v>
      </c>
      <c r="G14" s="76">
        <f t="shared" ref="G14:K15" si="10">G130</f>
        <v>14623.39</v>
      </c>
      <c r="H14" s="76">
        <f t="shared" si="10"/>
        <v>28502.22</v>
      </c>
      <c r="I14" s="76">
        <f t="shared" si="10"/>
        <v>77350.100000000006</v>
      </c>
      <c r="J14" s="76">
        <f t="shared" si="10"/>
        <v>63188.81</v>
      </c>
      <c r="K14" s="76">
        <f t="shared" si="10"/>
        <v>92135.32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28790</v>
      </c>
      <c r="J15" s="76">
        <f t="shared" si="10"/>
        <v>4283.46</v>
      </c>
      <c r="K15" s="76">
        <f t="shared" si="10"/>
        <v>4964.07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219.98509612462234</v>
      </c>
      <c r="B19" s="152">
        <f t="shared" ref="B19:B25" si="12">MAX(F19:K19)</f>
        <v>586.73817624766525</v>
      </c>
      <c r="C19" s="156">
        <f>AVERAGE(F19:K19)</f>
        <v>355.7133603792841</v>
      </c>
      <c r="D19" s="156">
        <f>MEDIAN(F19:K19)</f>
        <v>331.69605327089175</v>
      </c>
      <c r="E19" s="47" t="s">
        <v>293</v>
      </c>
      <c r="F19" s="71">
        <f>F28/(F27/365)</f>
        <v>219.98509612462234</v>
      </c>
      <c r="G19" s="71">
        <f t="shared" ref="G19:K19" si="13">G28/(G27/365)</f>
        <v>255.72319474878506</v>
      </c>
      <c r="H19" s="71">
        <f t="shared" si="13"/>
        <v>314.1079497186135</v>
      </c>
      <c r="I19" s="71">
        <f t="shared" si="13"/>
        <v>586.73817624766525</v>
      </c>
      <c r="J19" s="71">
        <f t="shared" si="13"/>
        <v>408.44158861284865</v>
      </c>
      <c r="K19" s="71">
        <f t="shared" si="13"/>
        <v>349.28415682317006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6.1155632163437046</v>
      </c>
      <c r="B21" s="152">
        <f t="shared" si="12"/>
        <v>217.50298019595127</v>
      </c>
      <c r="C21" s="156">
        <f t="shared" si="14"/>
        <v>72.256885755003054</v>
      </c>
      <c r="D21" s="156">
        <f t="shared" si="15"/>
        <v>52.042829655830388</v>
      </c>
      <c r="E21" s="47" t="s">
        <v>368</v>
      </c>
      <c r="F21" s="71">
        <f>F30/(F27/365)</f>
        <v>217.50298019595127</v>
      </c>
      <c r="G21" s="71">
        <f t="shared" ref="G21:K21" si="17">G30/(G27/365)</f>
        <v>6.1155632163437046</v>
      </c>
      <c r="H21" s="71">
        <f t="shared" si="17"/>
        <v>17.243599443215594</v>
      </c>
      <c r="I21" s="71">
        <f t="shared" si="17"/>
        <v>88.59351236284698</v>
      </c>
      <c r="J21" s="71">
        <f t="shared" si="17"/>
        <v>43.810018463186644</v>
      </c>
      <c r="K21" s="71">
        <f t="shared" si="17"/>
        <v>60.275640848474126</v>
      </c>
    </row>
    <row r="22" spans="1:11" s="43" customFormat="1" ht="13.2" x14ac:dyDescent="0.25">
      <c r="A22" s="152">
        <f t="shared" si="11"/>
        <v>2.4821159286710781</v>
      </c>
      <c r="B22" s="152">
        <f t="shared" si="12"/>
        <v>498.14466388481827</v>
      </c>
      <c r="C22" s="156">
        <f t="shared" si="14"/>
        <v>283.4564746242811</v>
      </c>
      <c r="D22" s="156">
        <f t="shared" si="15"/>
        <v>292.9364331250469</v>
      </c>
      <c r="E22" s="47" t="s">
        <v>294</v>
      </c>
      <c r="F22" s="71">
        <f>F19+F20-F21</f>
        <v>2.4821159286710781</v>
      </c>
      <c r="G22" s="71">
        <f t="shared" ref="G22:K22" si="18">G19+G20-G21</f>
        <v>249.60763153244136</v>
      </c>
      <c r="H22" s="71">
        <f t="shared" si="18"/>
        <v>296.8643502753979</v>
      </c>
      <c r="I22" s="71">
        <f t="shared" si="18"/>
        <v>498.14466388481827</v>
      </c>
      <c r="J22" s="71">
        <f t="shared" si="18"/>
        <v>364.63157014966202</v>
      </c>
      <c r="K22" s="71">
        <f t="shared" si="18"/>
        <v>289.00851597469591</v>
      </c>
    </row>
    <row r="23" spans="1:11" s="43" customFormat="1" ht="13.2" x14ac:dyDescent="0.25">
      <c r="A23" s="152">
        <f t="shared" si="11"/>
        <v>0.35366414127485768</v>
      </c>
      <c r="B23" s="152">
        <f t="shared" si="12"/>
        <v>1.2036941815218789</v>
      </c>
      <c r="C23" s="156">
        <f t="shared" si="14"/>
        <v>0.73602130151294742</v>
      </c>
      <c r="D23" s="156">
        <f t="shared" si="15"/>
        <v>0.71051857415966868</v>
      </c>
      <c r="E23" s="47" t="s">
        <v>295</v>
      </c>
      <c r="F23" s="71">
        <f>F27/F31</f>
        <v>1.2036941815218789</v>
      </c>
      <c r="G23" s="71">
        <f t="shared" ref="G23:K23" si="19">G27/G31</f>
        <v>0.83977828212920425</v>
      </c>
      <c r="H23" s="71">
        <f t="shared" si="19"/>
        <v>0.63659829146262703</v>
      </c>
      <c r="I23" s="71">
        <f t="shared" si="19"/>
        <v>0.35366414127485768</v>
      </c>
      <c r="J23" s="71">
        <f t="shared" si="19"/>
        <v>0.59795405583240524</v>
      </c>
      <c r="K23" s="71">
        <f t="shared" si="19"/>
        <v>0.78443885685671022</v>
      </c>
    </row>
    <row r="24" spans="1:11" s="43" customFormat="1" ht="13.2" x14ac:dyDescent="0.25">
      <c r="A24" s="152">
        <f t="shared" si="11"/>
        <v>3.154653006572866</v>
      </c>
      <c r="B24" s="152">
        <f t="shared" si="12"/>
        <v>683.5327109673625</v>
      </c>
      <c r="C24" s="156">
        <f t="shared" si="14"/>
        <v>123.21133512735298</v>
      </c>
      <c r="D24" s="156">
        <f t="shared" si="15"/>
        <v>8.4099923728984081</v>
      </c>
      <c r="E24" s="121" t="s">
        <v>369</v>
      </c>
      <c r="F24" s="71">
        <f>F27/F32</f>
        <v>30.409746259487651</v>
      </c>
      <c r="G24" s="71">
        <f t="shared" ref="G24:K24" si="20">G27/G32</f>
        <v>8.0249987196293553</v>
      </c>
      <c r="H24" s="71">
        <f t="shared" si="20"/>
        <v>5.3509157848981106</v>
      </c>
      <c r="I24" s="71">
        <f t="shared" si="20"/>
        <v>3.154653006572866</v>
      </c>
      <c r="J24" s="71">
        <f t="shared" si="20"/>
        <v>8.7949860261674608</v>
      </c>
      <c r="K24" s="71">
        <f t="shared" si="20"/>
        <v>683.5327109673625</v>
      </c>
    </row>
    <row r="25" spans="1:11" s="43" customFormat="1" ht="13.8" thickBot="1" x14ac:dyDescent="0.3">
      <c r="A25" s="152">
        <f t="shared" si="11"/>
        <v>0.39831920091229572</v>
      </c>
      <c r="B25" s="152">
        <f t="shared" si="12"/>
        <v>1.7385875693493213</v>
      </c>
      <c r="C25" s="156">
        <f t="shared" si="14"/>
        <v>0.91399450732427789</v>
      </c>
      <c r="D25" s="156">
        <f t="shared" si="15"/>
        <v>0.83024622595740427</v>
      </c>
      <c r="E25" s="49" t="s">
        <v>296</v>
      </c>
      <c r="F25" s="73">
        <f>F27/F33</f>
        <v>1.7385875693493213</v>
      </c>
      <c r="G25" s="73">
        <f t="shared" ref="G25:K25" si="21">G27/G33</f>
        <v>0.93793105227004447</v>
      </c>
      <c r="H25" s="73">
        <f t="shared" si="21"/>
        <v>0.72256139964476407</v>
      </c>
      <c r="I25" s="73">
        <f t="shared" si="21"/>
        <v>0.39831920091229572</v>
      </c>
      <c r="J25" s="73">
        <f t="shared" si="21"/>
        <v>0.64157338709528033</v>
      </c>
      <c r="K25" s="73">
        <f t="shared" si="21"/>
        <v>1.0449944346739619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664796.89</v>
      </c>
      <c r="G27" s="76">
        <f t="shared" ref="G27:K27" si="22">G93+G86</f>
        <v>872779.36</v>
      </c>
      <c r="H27" s="76">
        <f t="shared" si="22"/>
        <v>603314.31000000006</v>
      </c>
      <c r="I27" s="76">
        <f t="shared" si="22"/>
        <v>318677.81</v>
      </c>
      <c r="J27" s="76">
        <f t="shared" si="22"/>
        <v>526453</v>
      </c>
      <c r="K27" s="76">
        <f t="shared" si="22"/>
        <v>557926.74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400672.35</v>
      </c>
      <c r="G28" s="76">
        <f t="shared" ref="G28:K28" si="23">G116</f>
        <v>611479.25</v>
      </c>
      <c r="H28" s="76">
        <f t="shared" si="23"/>
        <v>519194.03</v>
      </c>
      <c r="I28" s="76">
        <f t="shared" si="23"/>
        <v>512275.17</v>
      </c>
      <c r="J28" s="76">
        <f t="shared" si="23"/>
        <v>589110.41</v>
      </c>
      <c r="K28" s="76">
        <f t="shared" si="23"/>
        <v>533904.03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396151.52</v>
      </c>
      <c r="G30" s="76">
        <f t="shared" ref="G30:K30" si="25">G130</f>
        <v>14623.39</v>
      </c>
      <c r="H30" s="76">
        <f t="shared" si="25"/>
        <v>28502.22</v>
      </c>
      <c r="I30" s="76">
        <f t="shared" si="25"/>
        <v>77350.100000000006</v>
      </c>
      <c r="J30" s="76">
        <f t="shared" si="25"/>
        <v>63188.81</v>
      </c>
      <c r="K30" s="76">
        <f t="shared" si="25"/>
        <v>92135.32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552297.17000000004</v>
      </c>
      <c r="G31" s="76">
        <f t="shared" ref="G31:K31" si="26">G120</f>
        <v>1039297.37</v>
      </c>
      <c r="H31" s="76">
        <f t="shared" si="26"/>
        <v>947715.88</v>
      </c>
      <c r="I31" s="76">
        <f t="shared" si="26"/>
        <v>901074.7</v>
      </c>
      <c r="J31" s="76">
        <f t="shared" si="26"/>
        <v>880423.83</v>
      </c>
      <c r="K31" s="76">
        <f t="shared" si="26"/>
        <v>711243.12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21861.31</v>
      </c>
      <c r="G32" s="76">
        <f t="shared" ref="G32:K32" si="27">G108</f>
        <v>108757.57</v>
      </c>
      <c r="H32" s="76">
        <f t="shared" si="27"/>
        <v>112749.73</v>
      </c>
      <c r="I32" s="76">
        <f t="shared" si="27"/>
        <v>101018.34</v>
      </c>
      <c r="J32" s="76">
        <f t="shared" si="27"/>
        <v>59858.31</v>
      </c>
      <c r="K32" s="76">
        <f t="shared" si="27"/>
        <v>816.24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382377.57</v>
      </c>
      <c r="G33" s="76">
        <f t="shared" ref="G33:K33" si="28">G114</f>
        <v>930536.8</v>
      </c>
      <c r="H33" s="76">
        <f t="shared" si="28"/>
        <v>834966.15</v>
      </c>
      <c r="I33" s="76">
        <f t="shared" si="28"/>
        <v>800056.36</v>
      </c>
      <c r="J33" s="76">
        <f t="shared" si="28"/>
        <v>820565.52</v>
      </c>
      <c r="K33" s="76">
        <f t="shared" si="28"/>
        <v>533904.03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0.12954124603693884</v>
      </c>
      <c r="B37" s="139">
        <f t="shared" ref="B37:B41" si="30">MAX(F37:K37)</f>
        <v>0.84196515075389577</v>
      </c>
      <c r="C37" s="160">
        <f t="shared" ref="C37:C41" si="31">AVERAGE(F37:K37)</f>
        <v>0.31635276032316595</v>
      </c>
      <c r="D37" s="160">
        <f t="shared" ref="D37:D41" si="32">MEDIAN(F37:K37)</f>
        <v>0.23544609811180914</v>
      </c>
      <c r="E37" s="47" t="s">
        <v>370</v>
      </c>
      <c r="F37" s="119">
        <f>F43/F44*100%</f>
        <v>0.84196515075389577</v>
      </c>
      <c r="G37" s="119">
        <f t="shared" ref="G37:K37" si="33">G43/G44*100%</f>
        <v>0.14862273730183689</v>
      </c>
      <c r="H37" s="119">
        <f t="shared" si="33"/>
        <v>0.18141405417834722</v>
      </c>
      <c r="I37" s="119">
        <f t="shared" si="33"/>
        <v>0.28947814204527106</v>
      </c>
      <c r="J37" s="119">
        <f t="shared" si="33"/>
        <v>0.30709523162270608</v>
      </c>
      <c r="K37" s="119">
        <f t="shared" si="33"/>
        <v>0.12954124603693884</v>
      </c>
    </row>
    <row r="38" spans="1:11" s="43" customFormat="1" ht="13.2" x14ac:dyDescent="0.25">
      <c r="A38" s="139">
        <f t="shared" si="29"/>
        <v>0.15002240599281216</v>
      </c>
      <c r="B38" s="139">
        <f t="shared" si="30"/>
        <v>5.3277182518314161</v>
      </c>
      <c r="C38" s="155">
        <f t="shared" si="31"/>
        <v>1.1246428440748815</v>
      </c>
      <c r="D38" s="156">
        <f t="shared" si="32"/>
        <v>0.32460734694826615</v>
      </c>
      <c r="E38" s="50" t="s">
        <v>298</v>
      </c>
      <c r="F38" s="122">
        <f>F43/F45</f>
        <v>5.3277182518314161</v>
      </c>
      <c r="G38" s="122">
        <f t="shared" ref="G38:K38" si="34">G43/G45</f>
        <v>0.17456801786419926</v>
      </c>
      <c r="H38" s="122">
        <f t="shared" si="34"/>
        <v>0.22161882341658515</v>
      </c>
      <c r="I38" s="122">
        <f t="shared" si="34"/>
        <v>0.42759587047994718</v>
      </c>
      <c r="J38" s="122">
        <f t="shared" si="34"/>
        <v>0.44633369486432889</v>
      </c>
      <c r="K38" s="122">
        <f t="shared" si="34"/>
        <v>0.15002240599281216</v>
      </c>
    </row>
    <row r="39" spans="1:11" s="43" customFormat="1" ht="13.2" x14ac:dyDescent="0.25">
      <c r="A39" s="139">
        <f t="shared" si="29"/>
        <v>1.1581053184406849</v>
      </c>
      <c r="B39" s="139">
        <f t="shared" si="30"/>
        <v>6.3277182518314161</v>
      </c>
      <c r="C39" s="155">
        <f t="shared" si="31"/>
        <v>2.1354242102829812</v>
      </c>
      <c r="D39" s="156">
        <f t="shared" si="32"/>
        <v>1.3375118298895845</v>
      </c>
      <c r="E39" s="50" t="s">
        <v>299</v>
      </c>
      <c r="F39" s="122">
        <f>F44/F45</f>
        <v>6.3277182518314161</v>
      </c>
      <c r="G39" s="122">
        <f t="shared" ref="G39:K39" si="35">G44/G45</f>
        <v>1.1745714083415801</v>
      </c>
      <c r="H39" s="122">
        <f t="shared" si="35"/>
        <v>1.221618823416585</v>
      </c>
      <c r="I39" s="122">
        <f t="shared" si="35"/>
        <v>1.4771266233050373</v>
      </c>
      <c r="J39" s="122">
        <f t="shared" si="35"/>
        <v>1.453404836362584</v>
      </c>
      <c r="K39" s="122">
        <f t="shared" si="35"/>
        <v>1.1581053184406849</v>
      </c>
    </row>
    <row r="40" spans="1:11" s="43" customFormat="1" ht="13.2" x14ac:dyDescent="0.25">
      <c r="A40" s="139">
        <f t="shared" si="29"/>
        <v>0</v>
      </c>
      <c r="B40" s="139">
        <f t="shared" si="30"/>
        <v>0.23532433237296632</v>
      </c>
      <c r="C40" s="160">
        <f t="shared" si="31"/>
        <v>0.14158960217531524</v>
      </c>
      <c r="D40" s="160">
        <f t="shared" si="32"/>
        <v>0.14294584352599532</v>
      </c>
      <c r="E40" s="77" t="s">
        <v>371</v>
      </c>
      <c r="F40" s="119">
        <f>F46/F44*100%</f>
        <v>0.12468550219078615</v>
      </c>
      <c r="G40" s="119">
        <f t="shared" ref="G40:K40" si="36">G46/G44*100%</f>
        <v>0.13455227929615562</v>
      </c>
      <c r="H40" s="119">
        <f t="shared" si="36"/>
        <v>0.15133940775583501</v>
      </c>
      <c r="I40" s="119">
        <f t="shared" si="36"/>
        <v>0.20363609143614841</v>
      </c>
      <c r="J40" s="119">
        <f t="shared" si="36"/>
        <v>0.23532433237296632</v>
      </c>
      <c r="K40" s="119">
        <f t="shared" si="36"/>
        <v>0</v>
      </c>
    </row>
    <row r="41" spans="1:11" s="43" customFormat="1" ht="13.8" thickBot="1" x14ac:dyDescent="0.3">
      <c r="A41" s="139" t="e">
        <f t="shared" si="29"/>
        <v>#DIV/0!</v>
      </c>
      <c r="B41" s="139" t="e">
        <f t="shared" si="30"/>
        <v>#DIV/0!</v>
      </c>
      <c r="C41" s="155" t="e">
        <f t="shared" si="31"/>
        <v>#DIV/0!</v>
      </c>
      <c r="D41" s="156" t="e">
        <f t="shared" si="32"/>
        <v>#DIV/0!</v>
      </c>
      <c r="E41" s="51" t="s">
        <v>300</v>
      </c>
      <c r="F41" s="123">
        <f>(F47+F48)/F48</f>
        <v>-8571.1082330180561</v>
      </c>
      <c r="G41" s="123" t="e">
        <f t="shared" ref="G41:J41" si="37">(G47+G48)/G48</f>
        <v>#DIV/0!</v>
      </c>
      <c r="H41" s="123">
        <f t="shared" si="37"/>
        <v>691901.62068965519</v>
      </c>
      <c r="I41" s="123">
        <f t="shared" si="37"/>
        <v>1547.2472727272727</v>
      </c>
      <c r="J41" s="123">
        <f t="shared" si="37"/>
        <v>217.44868927817126</v>
      </c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465014.97000000003</v>
      </c>
      <c r="G43" s="76">
        <f t="shared" ref="G43:K43" si="38">G129+G130</f>
        <v>154463.21999999997</v>
      </c>
      <c r="H43" s="76">
        <f t="shared" si="38"/>
        <v>171928.98</v>
      </c>
      <c r="I43" s="76">
        <f t="shared" si="38"/>
        <v>260841.43</v>
      </c>
      <c r="J43" s="76">
        <f t="shared" si="38"/>
        <v>270373.95999999996</v>
      </c>
      <c r="K43" s="76">
        <f t="shared" si="38"/>
        <v>92135.32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552297.17000000004</v>
      </c>
      <c r="G44" s="76">
        <f t="shared" ref="G44:K44" si="39">G120</f>
        <v>1039297.37</v>
      </c>
      <c r="H44" s="76">
        <f t="shared" si="39"/>
        <v>947715.88</v>
      </c>
      <c r="I44" s="76">
        <f t="shared" si="39"/>
        <v>901074.7</v>
      </c>
      <c r="J44" s="76">
        <f t="shared" si="39"/>
        <v>880423.83</v>
      </c>
      <c r="K44" s="76">
        <f t="shared" si="39"/>
        <v>711243.12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87282.2</v>
      </c>
      <c r="G45" s="76">
        <f t="shared" ref="G45:K45" si="40">G122</f>
        <v>884831.15</v>
      </c>
      <c r="H45" s="76">
        <f t="shared" si="40"/>
        <v>775786.9</v>
      </c>
      <c r="I45" s="76">
        <f t="shared" si="40"/>
        <v>610018.59</v>
      </c>
      <c r="J45" s="76">
        <f t="shared" si="40"/>
        <v>605766.41</v>
      </c>
      <c r="K45" s="76">
        <f t="shared" si="40"/>
        <v>614143.73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68863.45</v>
      </c>
      <c r="G46" s="76">
        <f t="shared" ref="G46:K46" si="41">G129</f>
        <v>139839.82999999999</v>
      </c>
      <c r="H46" s="76">
        <f t="shared" si="41"/>
        <v>143426.76</v>
      </c>
      <c r="I46" s="76">
        <f t="shared" si="41"/>
        <v>183491.33</v>
      </c>
      <c r="J46" s="76">
        <f t="shared" si="41"/>
        <v>207185.15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-797548.95</v>
      </c>
      <c r="G47" s="76">
        <f t="shared" ref="G47:K47" si="42">G102</f>
        <v>109044.25</v>
      </c>
      <c r="H47" s="76">
        <f t="shared" si="42"/>
        <v>200651.18</v>
      </c>
      <c r="I47" s="76">
        <f t="shared" si="42"/>
        <v>4252.18</v>
      </c>
      <c r="J47" s="76">
        <f t="shared" si="42"/>
        <v>34843.910000000003</v>
      </c>
      <c r="K47" s="76">
        <f t="shared" si="42"/>
        <v>97982.99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93.04</v>
      </c>
      <c r="G48" s="76">
        <f t="shared" ref="G48:K48" si="43">G101</f>
        <v>0</v>
      </c>
      <c r="H48" s="76">
        <f t="shared" si="43"/>
        <v>0.28999999999999998</v>
      </c>
      <c r="I48" s="76">
        <f t="shared" si="43"/>
        <v>2.75</v>
      </c>
      <c r="J48" s="76">
        <f t="shared" si="43"/>
        <v>160.97999999999999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</v>
      </c>
      <c r="B52" s="139">
        <f t="shared" ref="B52:B63" si="45">MAX(F52:K52)</f>
        <v>1.5063574450211514</v>
      </c>
      <c r="C52" s="160">
        <f t="shared" ref="C52:C63" si="46">AVERAGE(F52:K52)</f>
        <v>0.31570191575613288</v>
      </c>
      <c r="D52" s="160">
        <f t="shared" ref="D52:D63" si="47">MEDIAN(F52:K52)</f>
        <v>0</v>
      </c>
      <c r="E52" s="50" t="s">
        <v>350</v>
      </c>
      <c r="F52" s="119">
        <f t="shared" ref="F52:K52" si="48">(F65/(F70+F71))*100%</f>
        <v>0</v>
      </c>
      <c r="G52" s="119">
        <f t="shared" si="48"/>
        <v>0</v>
      </c>
      <c r="H52" s="119">
        <f t="shared" si="48"/>
        <v>1.5063574450211514</v>
      </c>
      <c r="I52" s="119">
        <f t="shared" si="48"/>
        <v>0.38785404951564578</v>
      </c>
      <c r="J52" s="119">
        <f t="shared" si="48"/>
        <v>0</v>
      </c>
      <c r="K52" s="120">
        <f t="shared" si="48"/>
        <v>0</v>
      </c>
    </row>
    <row r="53" spans="1:11" s="43" customFormat="1" ht="13.2" x14ac:dyDescent="0.25">
      <c r="A53" s="139">
        <f t="shared" si="44"/>
        <v>-2.0982771221124761</v>
      </c>
      <c r="B53" s="139">
        <f t="shared" si="45"/>
        <v>0.85079026103737021</v>
      </c>
      <c r="C53" s="160">
        <f t="shared" si="46"/>
        <v>-0.62374343053755288</v>
      </c>
      <c r="D53" s="160">
        <f t="shared" si="47"/>
        <v>-0.62374343053755288</v>
      </c>
      <c r="E53" s="50" t="s">
        <v>351</v>
      </c>
      <c r="F53" s="119">
        <f>(F66/F70)*100%</f>
        <v>-2.0982771221124761</v>
      </c>
      <c r="G53" s="119">
        <f t="shared" ref="G53" si="49">(G66/G70)*100%</f>
        <v>0.85079026103737021</v>
      </c>
      <c r="H53" s="177"/>
      <c r="I53" s="177"/>
      <c r="J53" s="177"/>
      <c r="K53" s="178"/>
    </row>
    <row r="54" spans="1:11" s="43" customFormat="1" ht="13.2" x14ac:dyDescent="0.25">
      <c r="A54" s="139">
        <f t="shared" si="44"/>
        <v>5.3153424843040746E-2</v>
      </c>
      <c r="B54" s="139">
        <f t="shared" si="45"/>
        <v>0.27449274073993613</v>
      </c>
      <c r="C54" s="160">
        <f t="shared" si="46"/>
        <v>0.15399818717147715</v>
      </c>
      <c r="D54" s="160">
        <f t="shared" si="47"/>
        <v>0.12807148827724038</v>
      </c>
      <c r="E54" s="50" t="s">
        <v>342</v>
      </c>
      <c r="F54" s="119">
        <f>(F67/SUM(F72:F74))*100%</f>
        <v>6.9992144247731147E-2</v>
      </c>
      <c r="G54" s="119">
        <f t="shared" ref="G54:K54" si="50">(G67/SUM(G72:G74))*100%</f>
        <v>5.3153424843040746E-2</v>
      </c>
      <c r="H54" s="119">
        <f t="shared" si="50"/>
        <v>0.2702078366436742</v>
      </c>
      <c r="I54" s="119">
        <f t="shared" si="50"/>
        <v>0.12762946106330242</v>
      </c>
      <c r="J54" s="119">
        <f t="shared" si="50"/>
        <v>0.12851351549117834</v>
      </c>
      <c r="K54" s="120">
        <f t="shared" si="50"/>
        <v>0.27449274073993613</v>
      </c>
    </row>
    <row r="55" spans="1:11" s="43" customFormat="1" ht="13.2" x14ac:dyDescent="0.25">
      <c r="A55" s="139">
        <f t="shared" si="44"/>
        <v>0</v>
      </c>
      <c r="B55" s="139">
        <f t="shared" si="45"/>
        <v>5.3375610909090909</v>
      </c>
      <c r="C55" s="160">
        <f t="shared" si="46"/>
        <v>0.94833603657482468</v>
      </c>
      <c r="D55" s="160">
        <f t="shared" si="47"/>
        <v>5.0011511906125343E-2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5.3375610909090909</v>
      </c>
      <c r="J55" s="119">
        <f t="shared" si="51"/>
        <v>0.10002302381225069</v>
      </c>
      <c r="K55" s="120">
        <f t="shared" si="51"/>
        <v>0.25243210472760574</v>
      </c>
    </row>
    <row r="56" spans="1:11" s="43" customFormat="1" ht="13.2" x14ac:dyDescent="0.25">
      <c r="A56" s="139">
        <f t="shared" si="44"/>
        <v>-0.21885947487853774</v>
      </c>
      <c r="B56" s="139">
        <f t="shared" si="45"/>
        <v>2.6231363930463854</v>
      </c>
      <c r="C56" s="160">
        <f t="shared" si="46"/>
        <v>0.75333003237480944</v>
      </c>
      <c r="D56" s="160">
        <f t="shared" si="47"/>
        <v>0.41448308014268687</v>
      </c>
      <c r="E56" s="50" t="s">
        <v>344</v>
      </c>
      <c r="F56" s="119">
        <f>((F73-F77)/F77)*100%</f>
        <v>-0.21885947487853774</v>
      </c>
      <c r="G56" s="119">
        <f t="shared" si="51"/>
        <v>0.79243421264262126</v>
      </c>
      <c r="H56" s="119">
        <f t="shared" si="51"/>
        <v>2.6231363930463854</v>
      </c>
      <c r="I56" s="177"/>
      <c r="J56" s="119">
        <f t="shared" si="51"/>
        <v>0.15545595092089179</v>
      </c>
      <c r="K56" s="120">
        <f t="shared" si="51"/>
        <v>0.41448308014268687</v>
      </c>
    </row>
    <row r="57" spans="1:11" s="43" customFormat="1" ht="13.2" x14ac:dyDescent="0.25">
      <c r="A57" s="139">
        <f t="shared" si="44"/>
        <v>-1</v>
      </c>
      <c r="B57" s="139">
        <f t="shared" si="45"/>
        <v>1.5423999290193882</v>
      </c>
      <c r="C57" s="160">
        <f t="shared" si="46"/>
        <v>-0.1849943067739416</v>
      </c>
      <c r="D57" s="160">
        <f t="shared" si="47"/>
        <v>-0.64118857805757723</v>
      </c>
      <c r="E57" s="50" t="s">
        <v>346</v>
      </c>
      <c r="F57" s="119">
        <f>((F74-F78)/F78)*100%</f>
        <v>1.5423999290193882</v>
      </c>
      <c r="G57" s="119">
        <f t="shared" si="51"/>
        <v>-0.99587100145310248</v>
      </c>
      <c r="H57" s="119">
        <f t="shared" si="51"/>
        <v>-0.28650615466205209</v>
      </c>
      <c r="I57" s="119">
        <f t="shared" si="51"/>
        <v>-1</v>
      </c>
      <c r="J57" s="177"/>
      <c r="K57" s="178"/>
    </row>
    <row r="58" spans="1:11" s="43" customFormat="1" ht="13.2" x14ac:dyDescent="0.25">
      <c r="A58" s="139">
        <f t="shared" si="44"/>
        <v>-0.86414596619642448</v>
      </c>
      <c r="B58" s="139">
        <f t="shared" si="45"/>
        <v>0.17618317280505044</v>
      </c>
      <c r="C58" s="155">
        <f t="shared" si="46"/>
        <v>-7.1201437653990826E-2</v>
      </c>
      <c r="D58" s="156">
        <f t="shared" si="47"/>
        <v>5.7754364854837495E-2</v>
      </c>
      <c r="E58" s="50" t="s">
        <v>356</v>
      </c>
      <c r="F58" s="71">
        <f>F68/(F70+F71+F72+F73+F74+F75)</f>
        <v>-0.86414596619642448</v>
      </c>
      <c r="G58" s="71">
        <f t="shared" ref="G58:K58" si="52">G68/(G70+G71+G72+G73+G74)</f>
        <v>5.8847407700569641E-2</v>
      </c>
      <c r="H58" s="71">
        <f t="shared" si="52"/>
        <v>0.17618317280505044</v>
      </c>
      <c r="I58" s="71">
        <f t="shared" si="52"/>
        <v>6.0216990926581461E-3</v>
      </c>
      <c r="J58" s="71">
        <f t="shared" si="52"/>
        <v>5.6661322009105355E-2</v>
      </c>
      <c r="K58" s="72">
        <f t="shared" si="52"/>
        <v>0.13922373866509596</v>
      </c>
    </row>
    <row r="59" spans="1:11" s="43" customFormat="1" ht="13.2" x14ac:dyDescent="0.25">
      <c r="A59" s="139">
        <f t="shared" si="44"/>
        <v>-0.86414596619642448</v>
      </c>
      <c r="B59" s="139">
        <f t="shared" si="45"/>
        <v>0.17618317280505044</v>
      </c>
      <c r="C59" s="155">
        <f t="shared" si="46"/>
        <v>-7.1212010792811475E-2</v>
      </c>
      <c r="D59" s="156">
        <f t="shared" si="47"/>
        <v>5.7738317371787126E-2</v>
      </c>
      <c r="E59" s="50" t="s">
        <v>361</v>
      </c>
      <c r="F59" s="71">
        <f>F69/(F70+F71+F72+F73+F74+F75)</f>
        <v>-0.86414596619642448</v>
      </c>
      <c r="G59" s="71">
        <f t="shared" ref="G59:K59" si="53">G69/(G70+G71+G72+G73+G74+G75)</f>
        <v>5.8845924326022279E-2</v>
      </c>
      <c r="H59" s="71">
        <f t="shared" si="53"/>
        <v>0.17618317280505044</v>
      </c>
      <c r="I59" s="71">
        <f t="shared" si="53"/>
        <v>6.0216990926581461E-3</v>
      </c>
      <c r="J59" s="71">
        <f t="shared" si="53"/>
        <v>5.6630710417551966E-2</v>
      </c>
      <c r="K59" s="72">
        <f t="shared" si="53"/>
        <v>0.13919239479827272</v>
      </c>
    </row>
    <row r="60" spans="1:11" s="43" customFormat="1" ht="26.4" x14ac:dyDescent="0.25">
      <c r="A60" s="139">
        <f t="shared" si="44"/>
        <v>0</v>
      </c>
      <c r="B60" s="139">
        <f t="shared" si="45"/>
        <v>0.14833931030046682</v>
      </c>
      <c r="C60" s="160">
        <f t="shared" si="46"/>
        <v>2.7513815729742874E-2</v>
      </c>
      <c r="D60" s="160">
        <f t="shared" si="47"/>
        <v>0</v>
      </c>
      <c r="E60" s="50" t="s">
        <v>372</v>
      </c>
      <c r="F60" s="119">
        <f>F65/F79*100%</f>
        <v>0</v>
      </c>
      <c r="G60" s="119">
        <f t="shared" ref="G60:K60" si="54">G65/G79*100%</f>
        <v>0</v>
      </c>
      <c r="H60" s="119">
        <f t="shared" si="54"/>
        <v>0.14833931030046682</v>
      </c>
      <c r="I60" s="119">
        <f t="shared" si="54"/>
        <v>1.6743584077990425E-2</v>
      </c>
      <c r="J60" s="119">
        <f t="shared" si="54"/>
        <v>0</v>
      </c>
      <c r="K60" s="120">
        <f t="shared" si="54"/>
        <v>0</v>
      </c>
    </row>
    <row r="61" spans="1:11" s="43" customFormat="1" ht="13.2" x14ac:dyDescent="0.25">
      <c r="A61" s="139">
        <f t="shared" si="44"/>
        <v>-1.4440576438224368</v>
      </c>
      <c r="B61" s="139">
        <f t="shared" si="45"/>
        <v>0.21172081658059796</v>
      </c>
      <c r="C61" s="155">
        <f t="shared" si="46"/>
        <v>-0.15755956584459799</v>
      </c>
      <c r="D61" s="156">
        <f t="shared" si="47"/>
        <v>7.2248708521932062E-2</v>
      </c>
      <c r="E61" s="50" t="s">
        <v>373</v>
      </c>
      <c r="F61" s="71">
        <f>F69/F79</f>
        <v>-1.4440576438224368</v>
      </c>
      <c r="G61" s="71">
        <f t="shared" ref="G61:K61" si="55">G69/G79</f>
        <v>0.10492112570245415</v>
      </c>
      <c r="H61" s="71">
        <f t="shared" si="55"/>
        <v>0.21172081658059796</v>
      </c>
      <c r="I61" s="71">
        <f t="shared" si="55"/>
        <v>4.719009422859171E-3</v>
      </c>
      <c r="J61" s="71">
        <f t="shared" si="55"/>
        <v>3.9576291341409969E-2</v>
      </c>
      <c r="K61" s="72">
        <f t="shared" si="55"/>
        <v>0.13776300570752797</v>
      </c>
    </row>
    <row r="62" spans="1:11" s="43" customFormat="1" ht="13.2" x14ac:dyDescent="0.25">
      <c r="A62" s="139">
        <f t="shared" si="44"/>
        <v>-9.1375899095119042</v>
      </c>
      <c r="B62" s="139">
        <f t="shared" si="45"/>
        <v>0.36416726036492753</v>
      </c>
      <c r="C62" s="155">
        <f t="shared" si="46"/>
        <v>-1.3442231611867281</v>
      </c>
      <c r="D62" s="156">
        <f t="shared" si="47"/>
        <v>0.19714904417068019</v>
      </c>
      <c r="E62" s="50" t="s">
        <v>374</v>
      </c>
      <c r="F62" s="71">
        <f>F69/F80</f>
        <v>-9.1375899095119042</v>
      </c>
      <c r="G62" s="71">
        <f>G66/G80</f>
        <v>0.26324277801476587</v>
      </c>
      <c r="H62" s="71">
        <f>H66/H80</f>
        <v>0.36416726036492753</v>
      </c>
      <c r="I62" s="71">
        <f>I66/I80</f>
        <v>0.13960222097493782</v>
      </c>
      <c r="J62" s="71">
        <f>J66/J80</f>
        <v>5.0542815670482619E-2</v>
      </c>
      <c r="K62" s="72">
        <f>K66/K80</f>
        <v>0.25469586736642252</v>
      </c>
    </row>
    <row r="63" spans="1:11" s="43" customFormat="1" ht="13.8" thickBot="1" x14ac:dyDescent="0.3">
      <c r="A63" s="139">
        <f t="shared" si="44"/>
        <v>0</v>
      </c>
      <c r="B63" s="139">
        <f t="shared" si="45"/>
        <v>0.1529388934450778</v>
      </c>
      <c r="C63" s="155">
        <f t="shared" si="46"/>
        <v>2.865869425268017E-2</v>
      </c>
      <c r="D63" s="156">
        <f t="shared" si="47"/>
        <v>0</v>
      </c>
      <c r="E63" s="51" t="s">
        <v>302</v>
      </c>
      <c r="F63" s="73">
        <f t="shared" ref="F63:K63" si="56">F65/(F80+F81)</f>
        <v>0</v>
      </c>
      <c r="G63" s="73">
        <f t="shared" si="56"/>
        <v>0</v>
      </c>
      <c r="H63" s="73">
        <f t="shared" si="56"/>
        <v>0.1529388934450778</v>
      </c>
      <c r="I63" s="73">
        <f t="shared" si="56"/>
        <v>1.9013272071003222E-2</v>
      </c>
      <c r="J63" s="73">
        <f t="shared" si="56"/>
        <v>0</v>
      </c>
      <c r="K63" s="74">
        <f t="shared" si="56"/>
        <v>0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0</v>
      </c>
      <c r="G65" s="76">
        <f t="shared" ref="G65:K65" si="57">G97</f>
        <v>0</v>
      </c>
      <c r="H65" s="76">
        <f t="shared" si="57"/>
        <v>140583.51999999999</v>
      </c>
      <c r="I65" s="76">
        <f t="shared" si="57"/>
        <v>15087.22</v>
      </c>
      <c r="J65" s="76">
        <f t="shared" si="57"/>
        <v>0</v>
      </c>
      <c r="K65" s="76">
        <f t="shared" si="57"/>
        <v>0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-837214.67</v>
      </c>
      <c r="G66" s="76">
        <f t="shared" ref="G66:K66" si="58">G95</f>
        <v>232925.41</v>
      </c>
      <c r="H66" s="76">
        <f t="shared" si="58"/>
        <v>282516.19</v>
      </c>
      <c r="I66" s="76">
        <f t="shared" si="58"/>
        <v>85159.95</v>
      </c>
      <c r="J66" s="76">
        <f t="shared" si="58"/>
        <v>30617.14</v>
      </c>
      <c r="K66" s="76">
        <f t="shared" si="58"/>
        <v>156419.87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36438.76</v>
      </c>
      <c r="G67" s="76">
        <f t="shared" ref="G67:K67" si="59">G92</f>
        <v>82662.33</v>
      </c>
      <c r="H67" s="76">
        <f t="shared" si="59"/>
        <v>282516.19</v>
      </c>
      <c r="I67" s="76">
        <f t="shared" si="59"/>
        <v>85159.95</v>
      </c>
      <c r="J67" s="76">
        <f t="shared" si="59"/>
        <v>78505.83</v>
      </c>
      <c r="K67" s="76">
        <f t="shared" si="59"/>
        <v>192064.3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-797548.95</v>
      </c>
      <c r="G68" s="76">
        <f t="shared" ref="G68:K68" si="60">G102</f>
        <v>109044.25</v>
      </c>
      <c r="H68" s="76">
        <f t="shared" si="60"/>
        <v>200651.18</v>
      </c>
      <c r="I68" s="76">
        <f t="shared" si="60"/>
        <v>4252.18</v>
      </c>
      <c r="J68" s="76">
        <f t="shared" si="60"/>
        <v>34843.910000000003</v>
      </c>
      <c r="K68" s="76">
        <f t="shared" si="60"/>
        <v>97982.99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-797548.95</v>
      </c>
      <c r="G69" s="76">
        <f t="shared" ref="G69:K69" si="61">G104</f>
        <v>109044.25</v>
      </c>
      <c r="H69" s="76">
        <f t="shared" si="61"/>
        <v>200651.18</v>
      </c>
      <c r="I69" s="76">
        <f t="shared" si="61"/>
        <v>4252.18</v>
      </c>
      <c r="J69" s="76">
        <f t="shared" si="61"/>
        <v>34843.910000000003</v>
      </c>
      <c r="K69" s="76">
        <f t="shared" si="61"/>
        <v>97982.99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399001</v>
      </c>
      <c r="G70" s="76">
        <f t="shared" ref="G70:K70" si="62">G93</f>
        <v>273775.35999999999</v>
      </c>
      <c r="H70" s="76">
        <f t="shared" si="62"/>
        <v>0</v>
      </c>
      <c r="I70" s="76">
        <f t="shared" si="62"/>
        <v>0</v>
      </c>
      <c r="J70" s="76">
        <f t="shared" si="62"/>
        <v>0</v>
      </c>
      <c r="K70" s="76">
        <f t="shared" si="62"/>
        <v>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3320</v>
      </c>
      <c r="G71" s="76">
        <f t="shared" ref="G71:K71" si="63">G98</f>
        <v>24060</v>
      </c>
      <c r="H71" s="76">
        <f t="shared" si="63"/>
        <v>93326.8</v>
      </c>
      <c r="I71" s="76">
        <f t="shared" si="63"/>
        <v>38899.22</v>
      </c>
      <c r="J71" s="76">
        <f t="shared" si="63"/>
        <v>4074.47</v>
      </c>
      <c r="K71" s="76">
        <f t="shared" si="63"/>
        <v>4074.47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72000</v>
      </c>
      <c r="G72" s="76">
        <f t="shared" ref="G72:K74" si="64">G85</f>
        <v>954720</v>
      </c>
      <c r="H72" s="76">
        <f t="shared" si="64"/>
        <v>58027.12</v>
      </c>
      <c r="I72" s="76">
        <f t="shared" si="64"/>
        <v>348565.86</v>
      </c>
      <c r="J72" s="76">
        <f t="shared" si="64"/>
        <v>84423.06</v>
      </c>
      <c r="K72" s="76">
        <f t="shared" si="64"/>
        <v>141779.56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265795.89</v>
      </c>
      <c r="G73" s="76">
        <f t="shared" si="64"/>
        <v>599004</v>
      </c>
      <c r="H73" s="76">
        <f t="shared" si="64"/>
        <v>603314.31000000006</v>
      </c>
      <c r="I73" s="76">
        <f t="shared" si="64"/>
        <v>318677.81</v>
      </c>
      <c r="J73" s="76">
        <f t="shared" si="64"/>
        <v>526453</v>
      </c>
      <c r="K73" s="76">
        <f t="shared" si="64"/>
        <v>557926.74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182816.25</v>
      </c>
      <c r="G74" s="76">
        <f t="shared" si="64"/>
        <v>1440.7</v>
      </c>
      <c r="H74" s="76">
        <f t="shared" si="64"/>
        <v>384210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46.71</v>
      </c>
      <c r="H75" s="76">
        <f t="shared" si="65"/>
        <v>0</v>
      </c>
      <c r="I75" s="76">
        <f t="shared" si="65"/>
        <v>0</v>
      </c>
      <c r="J75" s="76">
        <f t="shared" si="65"/>
        <v>332.41</v>
      </c>
      <c r="K75" s="76">
        <f t="shared" si="65"/>
        <v>158.47999999999999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72000</v>
      </c>
      <c r="G76" s="76">
        <f t="shared" ref="G76:K78" si="66">G89</f>
        <v>954720</v>
      </c>
      <c r="H76" s="76">
        <f t="shared" si="66"/>
        <v>58027.12</v>
      </c>
      <c r="I76" s="76">
        <f t="shared" si="66"/>
        <v>55000</v>
      </c>
      <c r="J76" s="76">
        <f t="shared" si="66"/>
        <v>76746.63</v>
      </c>
      <c r="K76" s="76">
        <f t="shared" si="66"/>
        <v>113203.39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340266.42</v>
      </c>
      <c r="G77" s="76">
        <f t="shared" si="66"/>
        <v>334184.65000000002</v>
      </c>
      <c r="H77" s="76">
        <f t="shared" si="66"/>
        <v>166517.14000000001</v>
      </c>
      <c r="I77" s="76">
        <f t="shared" si="66"/>
        <v>0</v>
      </c>
      <c r="J77" s="76">
        <f t="shared" si="66"/>
        <v>455623.6</v>
      </c>
      <c r="K77" s="76">
        <f t="shared" si="66"/>
        <v>394438.61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71906.960000000006</v>
      </c>
      <c r="G78" s="76">
        <f t="shared" si="66"/>
        <v>348922.38</v>
      </c>
      <c r="H78" s="76">
        <f t="shared" si="66"/>
        <v>538490.98</v>
      </c>
      <c r="I78" s="76">
        <f t="shared" si="66"/>
        <v>527083.72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552297.17000000004</v>
      </c>
      <c r="G79" s="76">
        <f t="shared" ref="G79:K79" si="67">G120</f>
        <v>1039297.37</v>
      </c>
      <c r="H79" s="76">
        <f t="shared" si="67"/>
        <v>947715.88</v>
      </c>
      <c r="I79" s="76">
        <f t="shared" si="67"/>
        <v>901074.7</v>
      </c>
      <c r="J79" s="76">
        <f t="shared" si="67"/>
        <v>880423.83</v>
      </c>
      <c r="K79" s="76">
        <f t="shared" si="67"/>
        <v>711243.12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87282.2</v>
      </c>
      <c r="G80" s="76">
        <f t="shared" ref="G80:K80" si="68">G122</f>
        <v>884831.15</v>
      </c>
      <c r="H80" s="76">
        <f t="shared" si="68"/>
        <v>775786.9</v>
      </c>
      <c r="I80" s="76">
        <f t="shared" si="68"/>
        <v>610018.59</v>
      </c>
      <c r="J80" s="76">
        <f t="shared" si="68"/>
        <v>605766.41</v>
      </c>
      <c r="K80" s="76">
        <f t="shared" si="68"/>
        <v>614143.73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68863.45</v>
      </c>
      <c r="G81" s="76">
        <f t="shared" ref="G81:K81" si="69">G129</f>
        <v>139839.82999999999</v>
      </c>
      <c r="H81" s="76">
        <f t="shared" si="69"/>
        <v>143426.76</v>
      </c>
      <c r="I81" s="76">
        <f t="shared" si="69"/>
        <v>183491.33</v>
      </c>
      <c r="J81" s="76">
        <f t="shared" si="69"/>
        <v>207185.15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520612.14</v>
      </c>
      <c r="G84" s="90">
        <v>1555164.7</v>
      </c>
      <c r="H84" s="90">
        <v>1045551.43</v>
      </c>
      <c r="I84" s="90">
        <v>667243.67000000004</v>
      </c>
      <c r="J84" s="90">
        <v>610876.06000000006</v>
      </c>
      <c r="K84" s="90">
        <v>699706.3</v>
      </c>
    </row>
    <row r="85" spans="3:11" x14ac:dyDescent="0.3">
      <c r="E85" s="11" t="s">
        <v>3</v>
      </c>
      <c r="F85" s="90">
        <v>72000</v>
      </c>
      <c r="G85" s="90">
        <v>954720</v>
      </c>
      <c r="H85" s="90">
        <v>58027.12</v>
      </c>
      <c r="I85" s="90">
        <v>348565.86</v>
      </c>
      <c r="J85" s="90">
        <v>84423.06</v>
      </c>
      <c r="K85" s="90">
        <v>141779.56</v>
      </c>
    </row>
    <row r="86" spans="3:11" x14ac:dyDescent="0.3">
      <c r="E86" s="11" t="s">
        <v>4</v>
      </c>
      <c r="F86" s="90">
        <v>265795.89</v>
      </c>
      <c r="G86" s="90">
        <v>599004</v>
      </c>
      <c r="H86" s="90">
        <v>603314.31000000006</v>
      </c>
      <c r="I86" s="90">
        <v>318677.81</v>
      </c>
      <c r="J86" s="90">
        <v>526453</v>
      </c>
      <c r="K86" s="90">
        <v>557926.74</v>
      </c>
    </row>
    <row r="87" spans="3:11" x14ac:dyDescent="0.3">
      <c r="E87" s="11" t="s">
        <v>5</v>
      </c>
      <c r="F87" s="90">
        <v>182816.25</v>
      </c>
      <c r="G87" s="90">
        <v>1440.7</v>
      </c>
      <c r="H87" s="90">
        <v>384210</v>
      </c>
      <c r="I87" s="90">
        <v>0</v>
      </c>
      <c r="J87" s="90"/>
      <c r="K87" s="90"/>
    </row>
    <row r="88" spans="3:11" x14ac:dyDescent="0.3">
      <c r="E88" s="11" t="s">
        <v>6</v>
      </c>
      <c r="F88" s="90">
        <v>484173.88</v>
      </c>
      <c r="G88" s="90">
        <v>1637827.03</v>
      </c>
      <c r="H88" s="90">
        <v>763835.24</v>
      </c>
      <c r="I88" s="90">
        <v>582083.72</v>
      </c>
      <c r="J88" s="90">
        <v>532370.23</v>
      </c>
      <c r="K88" s="90">
        <v>507642</v>
      </c>
    </row>
    <row r="89" spans="3:11" x14ac:dyDescent="0.3">
      <c r="E89" s="11" t="s">
        <v>7</v>
      </c>
      <c r="F89" s="90">
        <v>72000</v>
      </c>
      <c r="G89" s="90">
        <v>954720</v>
      </c>
      <c r="H89" s="90">
        <v>58027.12</v>
      </c>
      <c r="I89" s="90">
        <v>55000</v>
      </c>
      <c r="J89" s="90">
        <v>76746.63</v>
      </c>
      <c r="K89" s="90">
        <v>113203.39</v>
      </c>
    </row>
    <row r="90" spans="3:11" x14ac:dyDescent="0.3">
      <c r="E90" s="11" t="s">
        <v>8</v>
      </c>
      <c r="F90" s="90">
        <v>340266.42</v>
      </c>
      <c r="G90" s="90">
        <v>334184.65000000002</v>
      </c>
      <c r="H90" s="90">
        <v>166517.14000000001</v>
      </c>
      <c r="I90" s="90">
        <v>0</v>
      </c>
      <c r="J90" s="90">
        <v>455623.6</v>
      </c>
      <c r="K90" s="90">
        <v>394438.61</v>
      </c>
    </row>
    <row r="91" spans="3:11" x14ac:dyDescent="0.3">
      <c r="E91" s="11" t="s">
        <v>9</v>
      </c>
      <c r="F91" s="90">
        <v>71906.960000000006</v>
      </c>
      <c r="G91" s="90">
        <v>348922.38</v>
      </c>
      <c r="H91" s="90">
        <v>538490.98</v>
      </c>
      <c r="I91" s="90">
        <v>527083.72</v>
      </c>
      <c r="J91" s="92"/>
      <c r="K91" s="92"/>
    </row>
    <row r="92" spans="3:11" x14ac:dyDescent="0.3">
      <c r="E92" s="11" t="s">
        <v>10</v>
      </c>
      <c r="F92" s="90">
        <v>36438.76</v>
      </c>
      <c r="G92" s="90">
        <v>82662.33</v>
      </c>
      <c r="H92" s="90">
        <v>282516.19</v>
      </c>
      <c r="I92" s="90">
        <v>85159.95</v>
      </c>
      <c r="J92" s="92">
        <v>78505.83</v>
      </c>
      <c r="K92" s="92">
        <v>192064.3</v>
      </c>
    </row>
    <row r="93" spans="3:11" x14ac:dyDescent="0.3">
      <c r="E93" s="11" t="s">
        <v>11</v>
      </c>
      <c r="F93" s="90">
        <v>399001</v>
      </c>
      <c r="G93" s="90">
        <v>273775.35999999999</v>
      </c>
      <c r="H93" s="90"/>
      <c r="I93" s="90"/>
      <c r="J93" s="92"/>
      <c r="K93" s="92"/>
    </row>
    <row r="94" spans="3:11" x14ac:dyDescent="0.3">
      <c r="E94" s="11" t="s">
        <v>12</v>
      </c>
      <c r="F94" s="90">
        <v>1236215.67</v>
      </c>
      <c r="G94" s="90">
        <v>40849.949999999997</v>
      </c>
      <c r="H94" s="90"/>
      <c r="I94" s="90"/>
      <c r="J94" s="92"/>
      <c r="K94" s="92"/>
    </row>
    <row r="95" spans="3:11" x14ac:dyDescent="0.3">
      <c r="E95" s="11" t="s">
        <v>13</v>
      </c>
      <c r="F95" s="90">
        <v>-837214.67</v>
      </c>
      <c r="G95" s="90">
        <v>232925.41</v>
      </c>
      <c r="H95" s="92">
        <v>282516.19</v>
      </c>
      <c r="I95" s="92">
        <v>85159.95</v>
      </c>
      <c r="J95" s="92">
        <v>30617.14</v>
      </c>
      <c r="K95" s="92">
        <v>156419.87</v>
      </c>
    </row>
    <row r="96" spans="3:11" x14ac:dyDescent="0.3">
      <c r="E96" s="11" t="s">
        <v>14</v>
      </c>
      <c r="F96" s="90"/>
      <c r="G96" s="90"/>
      <c r="H96" s="90">
        <v>141932.67000000001</v>
      </c>
      <c r="I96" s="90">
        <v>70072.73</v>
      </c>
      <c r="J96" s="92"/>
      <c r="K96" s="92"/>
    </row>
    <row r="97" spans="5:11" x14ac:dyDescent="0.3">
      <c r="E97" s="11" t="s">
        <v>15</v>
      </c>
      <c r="F97" s="90"/>
      <c r="G97" s="90"/>
      <c r="H97" s="90">
        <v>140583.51999999999</v>
      </c>
      <c r="I97" s="90">
        <v>15087.22</v>
      </c>
      <c r="J97" s="92"/>
      <c r="K97" s="92"/>
    </row>
    <row r="98" spans="5:11" x14ac:dyDescent="0.3">
      <c r="E98" s="11" t="s">
        <v>16</v>
      </c>
      <c r="F98" s="90">
        <v>3320</v>
      </c>
      <c r="G98" s="90">
        <v>24060</v>
      </c>
      <c r="H98" s="90">
        <v>93326.8</v>
      </c>
      <c r="I98" s="90">
        <v>38899.22</v>
      </c>
      <c r="J98" s="90">
        <v>4074.47</v>
      </c>
      <c r="K98" s="90">
        <v>4074.47</v>
      </c>
    </row>
    <row r="99" spans="5:11" x14ac:dyDescent="0.3">
      <c r="E99" s="11" t="s">
        <v>17</v>
      </c>
      <c r="F99" s="90"/>
      <c r="G99" s="90"/>
      <c r="H99" s="90">
        <v>33315.85</v>
      </c>
      <c r="I99" s="90">
        <v>49731.51</v>
      </c>
      <c r="J99" s="90">
        <v>9.1300000000000008</v>
      </c>
      <c r="K99" s="90">
        <v>67869.94</v>
      </c>
    </row>
    <row r="100" spans="5:11" x14ac:dyDescent="0.3">
      <c r="E100" s="11" t="s">
        <v>18</v>
      </c>
      <c r="F100" s="90">
        <v>0</v>
      </c>
      <c r="G100" s="90">
        <v>46.71</v>
      </c>
      <c r="H100" s="90"/>
      <c r="I100" s="90"/>
      <c r="J100" s="90">
        <v>332.41</v>
      </c>
      <c r="K100" s="90">
        <v>158.47999999999999</v>
      </c>
    </row>
    <row r="101" spans="5:11" x14ac:dyDescent="0.3">
      <c r="E101" s="11" t="s">
        <v>19</v>
      </c>
      <c r="F101" s="90">
        <v>93.04</v>
      </c>
      <c r="G101" s="90">
        <v>0</v>
      </c>
      <c r="H101" s="90">
        <v>0.28999999999999998</v>
      </c>
      <c r="I101" s="90">
        <v>2.75</v>
      </c>
      <c r="J101" s="90">
        <v>160.97999999999999</v>
      </c>
      <c r="K101" s="90"/>
    </row>
    <row r="102" spans="5:11" x14ac:dyDescent="0.3">
      <c r="E102" s="11" t="s">
        <v>20</v>
      </c>
      <c r="F102" s="90">
        <v>-797548.95</v>
      </c>
      <c r="G102" s="90">
        <v>109044.25</v>
      </c>
      <c r="H102" s="90">
        <v>200651.18</v>
      </c>
      <c r="I102" s="90">
        <v>4252.18</v>
      </c>
      <c r="J102" s="90">
        <v>34843.910000000003</v>
      </c>
      <c r="K102" s="90">
        <v>97982.99</v>
      </c>
    </row>
    <row r="103" spans="5:11" x14ac:dyDescent="0.3">
      <c r="E103" s="11" t="s">
        <v>21</v>
      </c>
      <c r="F103" s="90"/>
      <c r="G103" s="90"/>
      <c r="H103" s="90"/>
      <c r="I103" s="90"/>
      <c r="J103" s="90"/>
      <c r="K103" s="90"/>
    </row>
    <row r="104" spans="5:11" x14ac:dyDescent="0.3">
      <c r="E104" s="11" t="s">
        <v>22</v>
      </c>
      <c r="F104" s="90">
        <v>-797548.95</v>
      </c>
      <c r="G104" s="90">
        <v>109044.25</v>
      </c>
      <c r="H104" s="90">
        <v>200651.18</v>
      </c>
      <c r="I104" s="90">
        <v>4252.18</v>
      </c>
      <c r="J104" s="90">
        <v>34843.910000000003</v>
      </c>
      <c r="K104" s="90">
        <v>97982.99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21861.31</v>
      </c>
      <c r="G108" s="90">
        <v>108757.57</v>
      </c>
      <c r="H108" s="90">
        <v>112749.73</v>
      </c>
      <c r="I108" s="90">
        <v>101018.34</v>
      </c>
      <c r="J108" s="90">
        <v>59858.31</v>
      </c>
      <c r="K108" s="90">
        <v>816.24</v>
      </c>
    </row>
    <row r="109" spans="5:11" ht="15" customHeight="1" x14ac:dyDescent="0.3">
      <c r="E109" s="8" t="s">
        <v>27</v>
      </c>
      <c r="F109" s="90">
        <v>0</v>
      </c>
      <c r="G109" s="90">
        <v>0</v>
      </c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21861.31</v>
      </c>
      <c r="G110" s="90">
        <v>108757.57</v>
      </c>
      <c r="H110" s="90">
        <v>112749.73</v>
      </c>
      <c r="I110" s="90">
        <v>101018.34</v>
      </c>
      <c r="J110" s="90">
        <v>59858.31</v>
      </c>
      <c r="K110" s="90">
        <v>816.24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3">
      <c r="E114" s="7" t="s">
        <v>33</v>
      </c>
      <c r="F114" s="90">
        <v>382377.57</v>
      </c>
      <c r="G114" s="90">
        <v>930536.8</v>
      </c>
      <c r="H114" s="90">
        <v>834966.15</v>
      </c>
      <c r="I114" s="90">
        <v>800056.36</v>
      </c>
      <c r="J114" s="90">
        <v>820565.52</v>
      </c>
      <c r="K114" s="90">
        <v>533904.03</v>
      </c>
    </row>
    <row r="115" spans="5:11" x14ac:dyDescent="0.3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3">
      <c r="E116" s="8" t="s">
        <v>35</v>
      </c>
      <c r="F116" s="90">
        <v>400672.35</v>
      </c>
      <c r="G116" s="90">
        <v>611479.25</v>
      </c>
      <c r="H116" s="90">
        <v>519194.03</v>
      </c>
      <c r="I116" s="90">
        <v>512275.17</v>
      </c>
      <c r="J116" s="90">
        <v>589110.41</v>
      </c>
      <c r="K116" s="90">
        <v>533904.03</v>
      </c>
    </row>
    <row r="117" spans="5:11" ht="15" customHeight="1" x14ac:dyDescent="0.3">
      <c r="E117" s="8" t="s">
        <v>36</v>
      </c>
      <c r="F117" s="90">
        <v>129757.51</v>
      </c>
      <c r="G117" s="90">
        <v>249873.63</v>
      </c>
      <c r="H117" s="90">
        <v>305772.12</v>
      </c>
      <c r="I117" s="90">
        <v>383953.63</v>
      </c>
      <c r="J117" s="90">
        <v>224695.28</v>
      </c>
      <c r="K117" s="90">
        <v>175933.61</v>
      </c>
    </row>
    <row r="118" spans="5:11" ht="15" customHeight="1" x14ac:dyDescent="0.3">
      <c r="E118" s="8" t="s">
        <v>37</v>
      </c>
      <c r="F118" s="90">
        <v>0</v>
      </c>
      <c r="G118" s="90">
        <v>69183.92</v>
      </c>
      <c r="H118" s="90">
        <v>10000</v>
      </c>
      <c r="I118" s="90">
        <v>3827.56</v>
      </c>
      <c r="J118" s="90">
        <v>6759.83</v>
      </c>
      <c r="K118" s="90">
        <v>589.24</v>
      </c>
    </row>
    <row r="119" spans="5:11" ht="15" customHeight="1" x14ac:dyDescent="0.3">
      <c r="E119" s="7" t="s">
        <v>38</v>
      </c>
      <c r="F119" s="90">
        <v>0</v>
      </c>
      <c r="G119" s="90">
        <v>0</v>
      </c>
      <c r="H119" s="90"/>
      <c r="I119" s="90"/>
      <c r="J119" s="90"/>
      <c r="K119" s="90"/>
    </row>
    <row r="120" spans="5:11" x14ac:dyDescent="0.3">
      <c r="E120" s="7" t="s">
        <v>39</v>
      </c>
      <c r="F120" s="90">
        <v>552297.17000000004</v>
      </c>
      <c r="G120" s="90">
        <v>1039297.37</v>
      </c>
      <c r="H120" s="90">
        <v>947715.88</v>
      </c>
      <c r="I120" s="90">
        <v>901074.7</v>
      </c>
      <c r="J120" s="90">
        <v>880423.83</v>
      </c>
      <c r="K120" s="90">
        <v>711243.12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87282.2</v>
      </c>
      <c r="G122" s="90">
        <v>884831.15</v>
      </c>
      <c r="H122" s="90">
        <v>775786.9</v>
      </c>
      <c r="I122" s="90">
        <v>610018.59</v>
      </c>
      <c r="J122" s="90">
        <v>605766.41</v>
      </c>
      <c r="K122" s="90">
        <v>614143.73</v>
      </c>
    </row>
    <row r="123" spans="5:11" x14ac:dyDescent="0.3">
      <c r="E123" s="8" t="s">
        <v>42</v>
      </c>
      <c r="F123" s="90">
        <v>614143.76</v>
      </c>
      <c r="G123" s="90">
        <v>614143.76</v>
      </c>
      <c r="H123" s="90">
        <v>614143.76</v>
      </c>
      <c r="I123" s="90">
        <v>614143.76</v>
      </c>
      <c r="J123" s="90">
        <v>614143.73</v>
      </c>
      <c r="K123" s="90">
        <v>516160.74</v>
      </c>
    </row>
    <row r="124" spans="5:11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3">
      <c r="E125" s="8" t="s">
        <v>44</v>
      </c>
      <c r="F125" s="90">
        <v>270687.39</v>
      </c>
      <c r="G125" s="90">
        <v>161643.14000000001</v>
      </c>
      <c r="H125" s="90">
        <v>-39008.04</v>
      </c>
      <c r="I125" s="90">
        <v>-8377.32</v>
      </c>
      <c r="J125" s="90">
        <v>-43221.23</v>
      </c>
      <c r="K125" s="90">
        <v>0</v>
      </c>
    </row>
    <row r="126" spans="5:11" x14ac:dyDescent="0.3">
      <c r="E126" s="8" t="s">
        <v>45</v>
      </c>
      <c r="F126" s="90">
        <v>-797548.95</v>
      </c>
      <c r="G126" s="90">
        <v>109044.25</v>
      </c>
      <c r="H126" s="90">
        <v>200651.18</v>
      </c>
      <c r="I126" s="90">
        <v>4252.18</v>
      </c>
      <c r="J126" s="90">
        <v>34843.910000000003</v>
      </c>
      <c r="K126" s="92">
        <v>97099.39</v>
      </c>
    </row>
    <row r="127" spans="5:11" ht="15" customHeight="1" x14ac:dyDescent="0.3">
      <c r="E127" s="18" t="s">
        <v>91</v>
      </c>
      <c r="F127" s="90">
        <v>465014.97</v>
      </c>
      <c r="G127" s="90">
        <v>154463.22</v>
      </c>
      <c r="H127" s="90">
        <v>171928.98</v>
      </c>
      <c r="I127" s="90">
        <v>291056.08</v>
      </c>
      <c r="J127" s="90">
        <v>274657.42</v>
      </c>
      <c r="K127" s="92">
        <v>97099.39</v>
      </c>
    </row>
    <row r="128" spans="5:11" ht="15" customHeight="1" x14ac:dyDescent="0.3">
      <c r="E128" s="8" t="s">
        <v>46</v>
      </c>
      <c r="F128" s="90">
        <v>0</v>
      </c>
      <c r="G128" s="90">
        <v>0</v>
      </c>
      <c r="H128" s="90"/>
      <c r="I128" s="90"/>
      <c r="J128" s="90"/>
      <c r="K128" s="90"/>
    </row>
    <row r="129" spans="5:11" ht="15" customHeight="1" x14ac:dyDescent="0.3">
      <c r="E129" s="17" t="s">
        <v>89</v>
      </c>
      <c r="F129" s="90">
        <v>68863.45</v>
      </c>
      <c r="G129" s="90">
        <v>139839.82999999999</v>
      </c>
      <c r="H129" s="90">
        <v>143426.76</v>
      </c>
      <c r="I129" s="90">
        <v>183491.33</v>
      </c>
      <c r="J129" s="90">
        <v>207185.15</v>
      </c>
      <c r="K129" s="90">
        <v>0</v>
      </c>
    </row>
    <row r="130" spans="5:11" ht="15" customHeight="1" x14ac:dyDescent="0.3">
      <c r="E130" s="17" t="s">
        <v>90</v>
      </c>
      <c r="F130" s="90">
        <v>396151.52</v>
      </c>
      <c r="G130" s="90">
        <v>14623.39</v>
      </c>
      <c r="H130" s="90">
        <v>28502.22</v>
      </c>
      <c r="I130" s="90">
        <v>77350.100000000006</v>
      </c>
      <c r="J130" s="90">
        <v>63188.81</v>
      </c>
      <c r="K130" s="90">
        <v>92135.32</v>
      </c>
    </row>
    <row r="131" spans="5:11" ht="15" customHeight="1" x14ac:dyDescent="0.3">
      <c r="E131" s="17" t="s">
        <v>88</v>
      </c>
      <c r="F131" s="90"/>
      <c r="G131" s="90"/>
      <c r="H131" s="90">
        <v>0</v>
      </c>
      <c r="I131" s="90">
        <v>28790</v>
      </c>
      <c r="J131" s="90">
        <v>4283.46</v>
      </c>
      <c r="K131" s="90">
        <v>4964.07</v>
      </c>
    </row>
    <row r="132" spans="5:11" x14ac:dyDescent="0.3">
      <c r="E132" s="7" t="s">
        <v>47</v>
      </c>
      <c r="F132" s="90">
        <v>552297.17000000004</v>
      </c>
      <c r="G132" s="90">
        <v>1039297.37</v>
      </c>
      <c r="H132" s="90">
        <v>552297.17000000004</v>
      </c>
      <c r="I132" s="90">
        <v>1039297.37</v>
      </c>
      <c r="J132" s="90">
        <v>880423.83</v>
      </c>
      <c r="K132" s="90">
        <v>711243.12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433A-B5CB-4521-B684-0E8BEE0482E8}">
  <sheetPr>
    <tabColor theme="5" tint="0.79998168889431442"/>
  </sheetPr>
  <dimension ref="A1:M177"/>
  <sheetViews>
    <sheetView topLeftCell="A166" workbookViewId="0">
      <selection sqref="A1:L189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424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3.5792916007173402E-2</v>
      </c>
      <c r="B4" s="139">
        <f>MAX(F4:K4)</f>
        <v>0.15710827974669761</v>
      </c>
      <c r="C4" s="155">
        <f>AVERAGE(F4:K4)</f>
        <v>8.8280721069326953E-2</v>
      </c>
      <c r="D4" s="156">
        <f>MEDIAN(F4:K4)</f>
        <v>8.1403652309316815E-2</v>
      </c>
      <c r="E4" s="47" t="s">
        <v>364</v>
      </c>
      <c r="F4" s="71">
        <f>SUM(F9:F12)/SUM(F13:F15)</f>
        <v>0.15710827974669761</v>
      </c>
      <c r="G4" s="71">
        <f t="shared" ref="G4:K4" si="0">SUM(G9:G12)/SUM(G13:G15)</f>
        <v>0.11683376016170573</v>
      </c>
      <c r="H4" s="71">
        <f t="shared" si="0"/>
        <v>9.2259244880311231E-2</v>
      </c>
      <c r="I4" s="71">
        <f t="shared" si="0"/>
        <v>7.0548059738322386E-2</v>
      </c>
      <c r="J4" s="71">
        <f t="shared" si="0"/>
        <v>5.7142065881751344E-2</v>
      </c>
      <c r="K4" s="71">
        <f t="shared" si="0"/>
        <v>3.5792916007173402E-2</v>
      </c>
    </row>
    <row r="5" spans="1:11" s="43" customFormat="1" ht="13.2" x14ac:dyDescent="0.25">
      <c r="A5" s="139">
        <f t="shared" ref="A5:A7" si="1">MIN(F5:K5)</f>
        <v>1.2057556524537256</v>
      </c>
      <c r="B5" s="139">
        <f t="shared" ref="B5:B7" si="2">MAX(F5:K5)</f>
        <v>8.0228612994202084</v>
      </c>
      <c r="C5" s="155">
        <f t="shared" ref="C5:C7" si="3">AVERAGEIF(F5:K5,"&gt;0")</f>
        <v>4.2809701569997278</v>
      </c>
      <c r="D5" s="156">
        <f t="shared" ref="D5:D7" si="4">_xlfn.AGGREGATE(12,6,F5:K5)</f>
        <v>3.5410089933949092</v>
      </c>
      <c r="E5" s="47" t="s">
        <v>363</v>
      </c>
      <c r="F5" s="71">
        <f t="shared" ref="F5:K5" si="5">SUM(F9:F12)/F14</f>
        <v>7.5205927039092062</v>
      </c>
      <c r="G5" s="71">
        <f t="shared" si="5"/>
        <v>8.0228612994202084</v>
      </c>
      <c r="H5" s="71">
        <f t="shared" si="5"/>
        <v>3.944802259114673</v>
      </c>
      <c r="I5" s="71">
        <f t="shared" si="5"/>
        <v>3.1372157276751453</v>
      </c>
      <c r="J5" s="71">
        <f t="shared" si="5"/>
        <v>1.8545932994254088</v>
      </c>
      <c r="K5" s="71">
        <f t="shared" si="5"/>
        <v>1.2057556524537256</v>
      </c>
    </row>
    <row r="6" spans="1:11" s="43" customFormat="1" ht="13.2" x14ac:dyDescent="0.25">
      <c r="A6" s="139">
        <f t="shared" si="1"/>
        <v>0.75557240476777598</v>
      </c>
      <c r="B6" s="139">
        <f t="shared" si="2"/>
        <v>6.7357272260214893</v>
      </c>
      <c r="C6" s="155">
        <f t="shared" si="3"/>
        <v>3.5527925599862353</v>
      </c>
      <c r="D6" s="156">
        <f t="shared" si="4"/>
        <v>2.9462566018441372</v>
      </c>
      <c r="E6" s="47" t="s">
        <v>365</v>
      </c>
      <c r="F6" s="71">
        <f t="shared" ref="F6:K6" si="6">SUM(F10:F11)/F14</f>
        <v>6.3676817037568352</v>
      </c>
      <c r="G6" s="71">
        <f t="shared" si="6"/>
        <v>6.7357272260214893</v>
      </c>
      <c r="H6" s="71">
        <f t="shared" si="6"/>
        <v>3.175486753340087</v>
      </c>
      <c r="I6" s="71">
        <f t="shared" si="6"/>
        <v>2.7170264503481878</v>
      </c>
      <c r="J6" s="71">
        <f t="shared" si="6"/>
        <v>1.5652608216830375</v>
      </c>
      <c r="K6" s="71">
        <f t="shared" si="6"/>
        <v>0.75557240476777598</v>
      </c>
    </row>
    <row r="7" spans="1:11" s="43" customFormat="1" ht="13.8" thickBot="1" x14ac:dyDescent="0.3">
      <c r="A7" s="139">
        <f t="shared" si="1"/>
        <v>0.56683496658507615</v>
      </c>
      <c r="B7" s="139">
        <f t="shared" si="2"/>
        <v>6.1919802775268833</v>
      </c>
      <c r="C7" s="155">
        <f t="shared" si="3"/>
        <v>3.195683941260929</v>
      </c>
      <c r="D7" s="156">
        <f t="shared" si="4"/>
        <v>2.6182202221006374</v>
      </c>
      <c r="E7" s="49" t="s">
        <v>366</v>
      </c>
      <c r="F7" s="73">
        <f t="shared" ref="F7:K7" si="7">F11/F14</f>
        <v>5.7979854783623139</v>
      </c>
      <c r="G7" s="73">
        <f t="shared" si="7"/>
        <v>6.1919802775268833</v>
      </c>
      <c r="H7" s="73">
        <f t="shared" si="7"/>
        <v>2.7259291828257517</v>
      </c>
      <c r="I7" s="73">
        <f t="shared" si="7"/>
        <v>2.5105112613755232</v>
      </c>
      <c r="J7" s="73">
        <f t="shared" si="7"/>
        <v>1.3808624808900241</v>
      </c>
      <c r="K7" s="73">
        <f t="shared" si="7"/>
        <v>0.56683496658507615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68249.08</v>
      </c>
      <c r="G9" s="76">
        <f t="shared" ref="G9:K12" si="8">G115</f>
        <v>54465.31</v>
      </c>
      <c r="H9" s="76">
        <f t="shared" si="8"/>
        <v>55150.89</v>
      </c>
      <c r="I9" s="76">
        <f t="shared" si="8"/>
        <v>31307.74</v>
      </c>
      <c r="J9" s="76">
        <f t="shared" si="8"/>
        <v>33541.64</v>
      </c>
      <c r="K9" s="76">
        <f t="shared" si="8"/>
        <v>51008.31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33724.410000000003</v>
      </c>
      <c r="G10" s="76">
        <f t="shared" si="8"/>
        <v>23008.75</v>
      </c>
      <c r="H10" s="76">
        <f t="shared" si="8"/>
        <v>32228</v>
      </c>
      <c r="I10" s="76">
        <f t="shared" si="8"/>
        <v>15387.17</v>
      </c>
      <c r="J10" s="76">
        <f t="shared" si="8"/>
        <v>21376.87</v>
      </c>
      <c r="K10" s="76">
        <f t="shared" si="8"/>
        <v>21385.02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343224.39</v>
      </c>
      <c r="G11" s="76">
        <f t="shared" si="8"/>
        <v>262014.76</v>
      </c>
      <c r="H11" s="76">
        <f t="shared" si="8"/>
        <v>195417.12</v>
      </c>
      <c r="I11" s="76">
        <f t="shared" si="8"/>
        <v>187054.83</v>
      </c>
      <c r="J11" s="76">
        <f t="shared" si="8"/>
        <v>160080.17000000001</v>
      </c>
      <c r="K11" s="76">
        <f t="shared" si="8"/>
        <v>64225.61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59197.18</v>
      </c>
      <c r="G14" s="76">
        <f t="shared" ref="G14:K15" si="10">G130</f>
        <v>42315.18</v>
      </c>
      <c r="H14" s="76">
        <f t="shared" si="10"/>
        <v>71688.259999999995</v>
      </c>
      <c r="I14" s="76">
        <f t="shared" si="10"/>
        <v>74508.66</v>
      </c>
      <c r="J14" s="76">
        <f t="shared" si="10"/>
        <v>115927.67</v>
      </c>
      <c r="K14" s="76">
        <f t="shared" si="10"/>
        <v>113305.66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2774503.76</v>
      </c>
      <c r="G15" s="76">
        <f t="shared" si="10"/>
        <v>2863427.3</v>
      </c>
      <c r="H15" s="76">
        <f t="shared" si="10"/>
        <v>2993543.96</v>
      </c>
      <c r="I15" s="76">
        <f t="shared" si="10"/>
        <v>3238831.79</v>
      </c>
      <c r="J15" s="76">
        <f t="shared" si="10"/>
        <v>3646601.33</v>
      </c>
      <c r="K15" s="76">
        <f t="shared" si="10"/>
        <v>3703621.13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41.154260925561012</v>
      </c>
      <c r="B19" s="152">
        <f t="shared" ref="B19:B25" si="12">MAX(F19:K19)</f>
        <v>73.269608609272467</v>
      </c>
      <c r="C19" s="156">
        <f>AVERAGE(F19:K19)</f>
        <v>55.502530207276244</v>
      </c>
      <c r="D19" s="156">
        <f>MEDIAN(F19:K19)</f>
        <v>55.68297613595248</v>
      </c>
      <c r="E19" s="47" t="s">
        <v>293</v>
      </c>
      <c r="F19" s="71">
        <f>F28/(F27/365)</f>
        <v>56.542294677204033</v>
      </c>
      <c r="G19" s="71">
        <f t="shared" ref="G19:K19" si="13">G28/(G27/365)</f>
        <v>42.873307856686793</v>
      </c>
      <c r="H19" s="71">
        <f t="shared" si="13"/>
        <v>54.823657594700926</v>
      </c>
      <c r="I19" s="71">
        <f t="shared" si="13"/>
        <v>41.154260925561012</v>
      </c>
      <c r="J19" s="71">
        <f t="shared" si="13"/>
        <v>64.352051580232242</v>
      </c>
      <c r="K19" s="71">
        <f t="shared" si="13"/>
        <v>73.269608609272467</v>
      </c>
    </row>
    <row r="20" spans="1:11" s="43" customFormat="1" ht="13.2" x14ac:dyDescent="0.25">
      <c r="A20" s="152">
        <f t="shared" si="11"/>
        <v>83.735144341007697</v>
      </c>
      <c r="B20" s="152">
        <f t="shared" si="12"/>
        <v>174.76527538998974</v>
      </c>
      <c r="C20" s="156">
        <f t="shared" ref="C20:C25" si="14">AVERAGE(F20:K20)</f>
        <v>111.53419036756179</v>
      </c>
      <c r="D20" s="156">
        <f t="shared" ref="D20:D25" si="15">MEDIAN(F20:K20)</f>
        <v>101.23010052356926</v>
      </c>
      <c r="E20" s="121" t="s">
        <v>367</v>
      </c>
      <c r="F20" s="71">
        <f>F29/(F27/365)</f>
        <v>114.42630405715244</v>
      </c>
      <c r="G20" s="71">
        <f t="shared" ref="G20:K20" si="16">G29/(G27/365)</f>
        <v>101.48782542032407</v>
      </c>
      <c r="H20" s="71">
        <f t="shared" si="16"/>
        <v>93.818217370082394</v>
      </c>
      <c r="I20" s="71">
        <f t="shared" si="16"/>
        <v>83.735144341007697</v>
      </c>
      <c r="J20" s="71">
        <f t="shared" si="16"/>
        <v>100.97237562681445</v>
      </c>
      <c r="K20" s="71">
        <f t="shared" si="16"/>
        <v>174.76527538998974</v>
      </c>
    </row>
    <row r="21" spans="1:11" s="43" customFormat="1" ht="13.2" x14ac:dyDescent="0.25">
      <c r="A21" s="152">
        <f t="shared" si="11"/>
        <v>78.847905216542216</v>
      </c>
      <c r="B21" s="152">
        <f t="shared" si="12"/>
        <v>388.20919323036867</v>
      </c>
      <c r="C21" s="156">
        <f t="shared" si="14"/>
        <v>206.08678841295514</v>
      </c>
      <c r="D21" s="156">
        <f t="shared" si="15"/>
        <v>160.61491636816004</v>
      </c>
      <c r="E21" s="47" t="s">
        <v>368</v>
      </c>
      <c r="F21" s="71">
        <f>F30/(F27/365)</f>
        <v>99.249902240528115</v>
      </c>
      <c r="G21" s="71">
        <f t="shared" ref="G21:K21" si="17">G30/(G27/365)</f>
        <v>78.847905216542216</v>
      </c>
      <c r="H21" s="71">
        <f t="shared" si="17"/>
        <v>121.95024884572094</v>
      </c>
      <c r="I21" s="71">
        <f t="shared" si="17"/>
        <v>199.27958389059916</v>
      </c>
      <c r="J21" s="71">
        <f t="shared" si="17"/>
        <v>348.98389705397199</v>
      </c>
      <c r="K21" s="71">
        <f t="shared" si="17"/>
        <v>388.20919323036867</v>
      </c>
    </row>
    <row r="22" spans="1:11" s="43" customFormat="1" ht="13.2" x14ac:dyDescent="0.25">
      <c r="A22" s="152">
        <f t="shared" si="11"/>
        <v>-183.65946984692528</v>
      </c>
      <c r="B22" s="152">
        <f t="shared" si="12"/>
        <v>71.718696493828361</v>
      </c>
      <c r="C22" s="156">
        <f t="shared" si="14"/>
        <v>-39.050067838117137</v>
      </c>
      <c r="D22" s="156">
        <f t="shared" si="15"/>
        <v>-23.849276252484039</v>
      </c>
      <c r="E22" s="47" t="s">
        <v>294</v>
      </c>
      <c r="F22" s="71">
        <f>F19+F20-F21</f>
        <v>71.718696493828361</v>
      </c>
      <c r="G22" s="71">
        <f t="shared" ref="G22:K22" si="18">G19+G20-G21</f>
        <v>65.513228060468663</v>
      </c>
      <c r="H22" s="71">
        <f t="shared" si="18"/>
        <v>26.691626119062377</v>
      </c>
      <c r="I22" s="71">
        <f t="shared" si="18"/>
        <v>-74.390178624030455</v>
      </c>
      <c r="J22" s="71">
        <f t="shared" si="18"/>
        <v>-183.65946984692528</v>
      </c>
      <c r="K22" s="71">
        <f t="shared" si="18"/>
        <v>-140.17430923110646</v>
      </c>
    </row>
    <row r="23" spans="1:11" s="43" customFormat="1" ht="13.2" x14ac:dyDescent="0.25">
      <c r="A23" s="152">
        <f t="shared" si="11"/>
        <v>1.91437476281946E-2</v>
      </c>
      <c r="B23" s="152">
        <f t="shared" si="12"/>
        <v>4.5804686269832855E-2</v>
      </c>
      <c r="C23" s="156">
        <f t="shared" si="14"/>
        <v>3.3108003980087473E-2</v>
      </c>
      <c r="D23" s="156">
        <f t="shared" si="15"/>
        <v>3.4033930434141199E-2</v>
      </c>
      <c r="E23" s="47" t="s">
        <v>295</v>
      </c>
      <c r="F23" s="71">
        <f>F27/F31</f>
        <v>4.5804686269832855E-2</v>
      </c>
      <c r="G23" s="71">
        <f t="shared" ref="G23:K23" si="19">G27/G31</f>
        <v>4.0934423162746605E-2</v>
      </c>
      <c r="H23" s="71">
        <f t="shared" si="19"/>
        <v>4.3552868668358904E-2</v>
      </c>
      <c r="I23" s="71">
        <f t="shared" si="19"/>
        <v>2.7133437705535796E-2</v>
      </c>
      <c r="J23" s="71">
        <f t="shared" si="19"/>
        <v>2.2078860445856083E-2</v>
      </c>
      <c r="K23" s="71">
        <f t="shared" si="19"/>
        <v>1.91437476281946E-2</v>
      </c>
    </row>
    <row r="24" spans="1:11" s="43" customFormat="1" ht="13.2" x14ac:dyDescent="0.25">
      <c r="A24" s="152">
        <f t="shared" si="11"/>
        <v>1.9625563785696885E-2</v>
      </c>
      <c r="B24" s="152">
        <f t="shared" si="12"/>
        <v>5.0538624932043856E-2</v>
      </c>
      <c r="C24" s="156">
        <f t="shared" si="14"/>
        <v>3.5310665247190003E-2</v>
      </c>
      <c r="D24" s="156">
        <f t="shared" si="15"/>
        <v>3.6258077578405129E-2</v>
      </c>
      <c r="E24" s="121" t="s">
        <v>369</v>
      </c>
      <c r="F24" s="71">
        <f>F27/F32</f>
        <v>5.0538624932043856E-2</v>
      </c>
      <c r="G24" s="71">
        <f t="shared" ref="G24:K24" si="20">G27/G32</f>
        <v>4.4060229049435927E-2</v>
      </c>
      <c r="H24" s="71">
        <f t="shared" si="20"/>
        <v>4.6205167015930228E-2</v>
      </c>
      <c r="I24" s="71">
        <f t="shared" si="20"/>
        <v>2.8455926107374328E-2</v>
      </c>
      <c r="J24" s="71">
        <f t="shared" si="20"/>
        <v>2.2978480592658772E-2</v>
      </c>
      <c r="K24" s="71">
        <f t="shared" si="20"/>
        <v>1.9625563785696885E-2</v>
      </c>
    </row>
    <row r="25" spans="1:11" s="43" customFormat="1" ht="13.8" thickBot="1" x14ac:dyDescent="0.3">
      <c r="A25" s="152">
        <f t="shared" si="11"/>
        <v>0.48900208150137642</v>
      </c>
      <c r="B25" s="152">
        <f t="shared" si="12"/>
        <v>0.77977218971249518</v>
      </c>
      <c r="C25" s="156">
        <f t="shared" si="14"/>
        <v>0.62537894986579767</v>
      </c>
      <c r="D25" s="156">
        <f t="shared" si="15"/>
        <v>0.58041291715438681</v>
      </c>
      <c r="E25" s="49" t="s">
        <v>296</v>
      </c>
      <c r="F25" s="73">
        <f>F27/F33</f>
        <v>0.48900208150137642</v>
      </c>
      <c r="G25" s="73">
        <f t="shared" ref="G25:K25" si="21">G27/G33</f>
        <v>0.57699682127971108</v>
      </c>
      <c r="H25" s="73">
        <f t="shared" si="21"/>
        <v>0.75872594524936898</v>
      </c>
      <c r="I25" s="73">
        <f t="shared" si="21"/>
        <v>0.58382901302906265</v>
      </c>
      <c r="J25" s="73">
        <f t="shared" si="21"/>
        <v>0.56394764842277179</v>
      </c>
      <c r="K25" s="73">
        <f t="shared" si="21"/>
        <v>0.77977218971249518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217702.69</v>
      </c>
      <c r="G27" s="76">
        <f t="shared" ref="G27:K27" si="22">G93+G86</f>
        <v>195883.97</v>
      </c>
      <c r="H27" s="76">
        <f t="shared" si="22"/>
        <v>214564.67</v>
      </c>
      <c r="I27" s="76">
        <f t="shared" si="22"/>
        <v>136469.88</v>
      </c>
      <c r="J27" s="76">
        <f t="shared" si="22"/>
        <v>121248</v>
      </c>
      <c r="K27" s="76">
        <f t="shared" si="22"/>
        <v>106531.65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33724.410000000003</v>
      </c>
      <c r="G28" s="76">
        <f t="shared" ref="G28:K28" si="23">G116</f>
        <v>23008.75</v>
      </c>
      <c r="H28" s="76">
        <f t="shared" si="23"/>
        <v>32228</v>
      </c>
      <c r="I28" s="76">
        <f t="shared" si="23"/>
        <v>15387.17</v>
      </c>
      <c r="J28" s="76">
        <f t="shared" si="23"/>
        <v>21376.87</v>
      </c>
      <c r="K28" s="76">
        <f t="shared" si="23"/>
        <v>21385.02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68249.08</v>
      </c>
      <c r="G29" s="76">
        <f t="shared" ref="G29:K29" si="24">G115</f>
        <v>54465.31</v>
      </c>
      <c r="H29" s="76">
        <f t="shared" si="24"/>
        <v>55150.89</v>
      </c>
      <c r="I29" s="76">
        <f t="shared" si="24"/>
        <v>31307.74</v>
      </c>
      <c r="J29" s="76">
        <f t="shared" si="24"/>
        <v>33541.64</v>
      </c>
      <c r="K29" s="76">
        <f t="shared" si="24"/>
        <v>51008.31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59197.18</v>
      </c>
      <c r="G30" s="76">
        <f t="shared" ref="G30:K30" si="25">G130</f>
        <v>42315.18</v>
      </c>
      <c r="H30" s="76">
        <f t="shared" si="25"/>
        <v>71688.259999999995</v>
      </c>
      <c r="I30" s="76">
        <f t="shared" si="25"/>
        <v>74508.66</v>
      </c>
      <c r="J30" s="76">
        <f t="shared" si="25"/>
        <v>115927.67</v>
      </c>
      <c r="K30" s="76">
        <f t="shared" si="25"/>
        <v>113305.66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4752847.53</v>
      </c>
      <c r="G31" s="76">
        <f t="shared" ref="G31:K31" si="26">G120</f>
        <v>4785311.5999999996</v>
      </c>
      <c r="H31" s="76">
        <f t="shared" si="26"/>
        <v>4926533.58</v>
      </c>
      <c r="I31" s="76">
        <f t="shared" si="26"/>
        <v>5029583.1100000003</v>
      </c>
      <c r="J31" s="76">
        <f t="shared" si="26"/>
        <v>5491587.7699999996</v>
      </c>
      <c r="K31" s="76">
        <f t="shared" si="26"/>
        <v>5564827.3300000001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4307649.6500000004</v>
      </c>
      <c r="G32" s="76">
        <f t="shared" ref="G32:K32" si="27">G108</f>
        <v>4445822.78</v>
      </c>
      <c r="H32" s="76">
        <f t="shared" si="27"/>
        <v>4643737.57</v>
      </c>
      <c r="I32" s="76">
        <f t="shared" si="27"/>
        <v>4795833.37</v>
      </c>
      <c r="J32" s="76">
        <f t="shared" si="27"/>
        <v>5276589.09</v>
      </c>
      <c r="K32" s="76">
        <f t="shared" si="27"/>
        <v>5428208.3899999997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445197.88</v>
      </c>
      <c r="G33" s="76">
        <f t="shared" ref="G33:K33" si="28">G114</f>
        <v>339488.82</v>
      </c>
      <c r="H33" s="76">
        <f t="shared" si="28"/>
        <v>282796.01</v>
      </c>
      <c r="I33" s="76">
        <f t="shared" si="28"/>
        <v>233749.74</v>
      </c>
      <c r="J33" s="76">
        <f t="shared" si="28"/>
        <v>214998.68</v>
      </c>
      <c r="K33" s="76">
        <f t="shared" si="28"/>
        <v>136618.94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8.8427219661097942E-3</v>
      </c>
      <c r="B37" s="139">
        <f t="shared" ref="B37:B41" si="30">MAX(F37:K37)</f>
        <v>2.1110045920289464E-2</v>
      </c>
      <c r="C37" s="160">
        <f t="shared" ref="C37:C41" si="31">AVERAGE(F37:K37)</f>
        <v>1.535574113363194E-2</v>
      </c>
      <c r="D37" s="160">
        <f t="shared" ref="D37:D41" si="32">MEDIAN(F37:K37)</f>
        <v>1.4682771708947998E-2</v>
      </c>
      <c r="E37" s="47" t="s">
        <v>370</v>
      </c>
      <c r="F37" s="119">
        <f>F43/F44*100%</f>
        <v>1.2455097628599922E-2</v>
      </c>
      <c r="G37" s="119">
        <f t="shared" ref="G37:K37" si="33">G43/G44*100%</f>
        <v>8.8427219661097942E-3</v>
      </c>
      <c r="H37" s="119">
        <f t="shared" si="33"/>
        <v>1.4551460745346223E-2</v>
      </c>
      <c r="I37" s="119">
        <f t="shared" si="33"/>
        <v>1.4814082672549772E-2</v>
      </c>
      <c r="J37" s="119">
        <f t="shared" si="33"/>
        <v>2.1110045920289464E-2</v>
      </c>
      <c r="K37" s="119">
        <f t="shared" si="33"/>
        <v>2.0361037868896464E-2</v>
      </c>
    </row>
    <row r="38" spans="1:11" s="43" customFormat="1" ht="13.2" x14ac:dyDescent="0.25">
      <c r="A38" s="139">
        <f t="shared" si="29"/>
        <v>2.2513234309786915E-2</v>
      </c>
      <c r="B38" s="139">
        <f t="shared" si="30"/>
        <v>6.7933103493089578E-2</v>
      </c>
      <c r="C38" s="155">
        <f t="shared" si="31"/>
        <v>4.5044593017488012E-2</v>
      </c>
      <c r="D38" s="156">
        <f t="shared" si="32"/>
        <v>4.0964476903249218E-2</v>
      </c>
      <c r="E38" s="50" t="s">
        <v>298</v>
      </c>
      <c r="F38" s="122">
        <f>F43/F45</f>
        <v>3.0845574959440694E-2</v>
      </c>
      <c r="G38" s="122">
        <f t="shared" ref="G38:K38" si="34">G43/G45</f>
        <v>2.2513234309786915E-2</v>
      </c>
      <c r="H38" s="122">
        <f t="shared" si="34"/>
        <v>3.8515127931782092E-2</v>
      </c>
      <c r="I38" s="122">
        <f t="shared" si="34"/>
        <v>4.3413825874716344E-2</v>
      </c>
      <c r="J38" s="122">
        <f t="shared" si="34"/>
        <v>6.7046691536112452E-2</v>
      </c>
      <c r="K38" s="122">
        <f t="shared" si="34"/>
        <v>6.7933103493089578E-2</v>
      </c>
    </row>
    <row r="39" spans="1:11" s="43" customFormat="1" ht="13.2" x14ac:dyDescent="0.25">
      <c r="A39" s="139">
        <f t="shared" si="29"/>
        <v>2.4765422061896794</v>
      </c>
      <c r="B39" s="139">
        <f t="shared" si="30"/>
        <v>3.3364263614903558</v>
      </c>
      <c r="C39" s="155">
        <f t="shared" si="31"/>
        <v>2.852064489325151</v>
      </c>
      <c r="D39" s="156">
        <f t="shared" si="32"/>
        <v>2.7887000887761779</v>
      </c>
      <c r="E39" s="50" t="s">
        <v>299</v>
      </c>
      <c r="F39" s="122">
        <f>F44/F45</f>
        <v>2.4765422061896794</v>
      </c>
      <c r="G39" s="122">
        <f t="shared" ref="G39:K39" si="35">G44/G45</f>
        <v>2.5459620234663141</v>
      </c>
      <c r="H39" s="122">
        <f t="shared" si="35"/>
        <v>2.6468221030043195</v>
      </c>
      <c r="I39" s="122">
        <f t="shared" si="35"/>
        <v>2.9305780745480368</v>
      </c>
      <c r="J39" s="122">
        <f t="shared" si="35"/>
        <v>3.1760561672521979</v>
      </c>
      <c r="K39" s="122">
        <f t="shared" si="35"/>
        <v>3.3364263614903558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-3.1094654665502679</v>
      </c>
      <c r="B41" s="139">
        <f t="shared" si="30"/>
        <v>6983.0934744268079</v>
      </c>
      <c r="C41" s="155">
        <f t="shared" si="31"/>
        <v>1357.1350580236349</v>
      </c>
      <c r="D41" s="156">
        <f t="shared" si="32"/>
        <v>77.80638725651994</v>
      </c>
      <c r="E41" s="51" t="s">
        <v>300</v>
      </c>
      <c r="F41" s="123">
        <f>(F47+F48)/F48</f>
        <v>6983.0934744268079</v>
      </c>
      <c r="G41" s="123">
        <f t="shared" ref="G41:K41" si="37">(G47+G48)/G48</f>
        <v>999.67685589519635</v>
      </c>
      <c r="H41" s="123">
        <f t="shared" si="37"/>
        <v>146.03683047984569</v>
      </c>
      <c r="I41" s="123">
        <f t="shared" si="37"/>
        <v>-3.1094654665502679</v>
      </c>
      <c r="J41" s="123">
        <f t="shared" si="37"/>
        <v>9.5759440331941832</v>
      </c>
      <c r="K41" s="123">
        <f t="shared" si="37"/>
        <v>7.5367087733157856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5">
        <f>F129+F130</f>
        <v>59197.18</v>
      </c>
      <c r="G43" s="75">
        <f t="shared" ref="G43:K43" si="38">G129+G130</f>
        <v>42315.18</v>
      </c>
      <c r="H43" s="75">
        <f t="shared" si="38"/>
        <v>71688.259999999995</v>
      </c>
      <c r="I43" s="75">
        <f t="shared" si="38"/>
        <v>74508.66</v>
      </c>
      <c r="J43" s="75">
        <f t="shared" si="38"/>
        <v>115927.67</v>
      </c>
      <c r="K43" s="75">
        <f t="shared" si="38"/>
        <v>113305.66</v>
      </c>
    </row>
    <row r="44" spans="1:11" s="43" customFormat="1" ht="13.2" x14ac:dyDescent="0.25">
      <c r="C44" s="79"/>
      <c r="D44" s="79"/>
      <c r="E44" s="43" t="s">
        <v>303</v>
      </c>
      <c r="F44" s="75">
        <f>F120</f>
        <v>4752847.53</v>
      </c>
      <c r="G44" s="75">
        <f t="shared" ref="G44:K44" si="39">G120</f>
        <v>4785311.5999999996</v>
      </c>
      <c r="H44" s="75">
        <f t="shared" si="39"/>
        <v>4926533.58</v>
      </c>
      <c r="I44" s="75">
        <f t="shared" si="39"/>
        <v>5029583.1100000003</v>
      </c>
      <c r="J44" s="75">
        <f t="shared" si="39"/>
        <v>5491587.7699999996</v>
      </c>
      <c r="K44" s="75">
        <f t="shared" si="39"/>
        <v>5564827.3300000001</v>
      </c>
    </row>
    <row r="45" spans="1:11" s="43" customFormat="1" ht="13.2" x14ac:dyDescent="0.25">
      <c r="C45" s="79"/>
      <c r="D45" s="79"/>
      <c r="E45" s="43" t="s">
        <v>311</v>
      </c>
      <c r="F45" s="75">
        <f>F122</f>
        <v>1919146.59</v>
      </c>
      <c r="G45" s="75">
        <f t="shared" ref="G45:K45" si="40">G122</f>
        <v>1879569.12</v>
      </c>
      <c r="H45" s="75">
        <f t="shared" si="40"/>
        <v>1861301.36</v>
      </c>
      <c r="I45" s="75">
        <f t="shared" si="40"/>
        <v>1716242.66</v>
      </c>
      <c r="J45" s="75">
        <f t="shared" si="40"/>
        <v>1729058.77</v>
      </c>
      <c r="K45" s="75">
        <f t="shared" si="40"/>
        <v>1667900.54</v>
      </c>
    </row>
    <row r="46" spans="1:11" s="43" customFormat="1" ht="13.2" x14ac:dyDescent="0.25">
      <c r="C46" s="79"/>
      <c r="D46" s="79"/>
      <c r="E46" s="43" t="s">
        <v>312</v>
      </c>
      <c r="F46" s="75">
        <f>F129</f>
        <v>0</v>
      </c>
      <c r="G46" s="75">
        <f t="shared" ref="G46:K46" si="41">G129</f>
        <v>0</v>
      </c>
      <c r="H46" s="75">
        <f t="shared" si="41"/>
        <v>0</v>
      </c>
      <c r="I46" s="75">
        <f t="shared" si="41"/>
        <v>0</v>
      </c>
      <c r="J46" s="75">
        <f t="shared" si="41"/>
        <v>0</v>
      </c>
      <c r="K46" s="75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5">
        <f>F102</f>
        <v>39588.47</v>
      </c>
      <c r="G47" s="75">
        <f t="shared" ref="G47:K47" si="42">G102</f>
        <v>18295.759999999998</v>
      </c>
      <c r="H47" s="75">
        <f t="shared" si="42"/>
        <v>145113.70000000001</v>
      </c>
      <c r="I47" s="75">
        <f t="shared" si="42"/>
        <v>-12286.11</v>
      </c>
      <c r="J47" s="75">
        <f t="shared" si="42"/>
        <v>61158.23</v>
      </c>
      <c r="K47" s="75">
        <f t="shared" si="42"/>
        <v>73807.09</v>
      </c>
    </row>
    <row r="48" spans="1:11" s="43" customFormat="1" ht="13.2" x14ac:dyDescent="0.25">
      <c r="C48" s="79"/>
      <c r="D48" s="79"/>
      <c r="E48" s="43" t="s">
        <v>314</v>
      </c>
      <c r="F48" s="75">
        <f>F101</f>
        <v>5.67</v>
      </c>
      <c r="G48" s="75">
        <f t="shared" ref="G48:K48" si="43">G101</f>
        <v>18.32</v>
      </c>
      <c r="H48" s="75">
        <f t="shared" si="43"/>
        <v>1000.53</v>
      </c>
      <c r="I48" s="75">
        <f t="shared" si="43"/>
        <v>2989.71</v>
      </c>
      <c r="J48" s="75">
        <f t="shared" si="43"/>
        <v>7131.37</v>
      </c>
      <c r="K48" s="75">
        <f t="shared" si="43"/>
        <v>11291.17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-2.2589600213428964</v>
      </c>
      <c r="B52" s="139">
        <f t="shared" ref="B52:B63" si="45">MAX(F52:K52)</f>
        <v>9.8945593416190523</v>
      </c>
      <c r="C52" s="160">
        <f t="shared" ref="C52:C63" si="46">AVERAGE(F52:K52)</f>
        <v>2.7091520017600796</v>
      </c>
      <c r="D52" s="160">
        <f t="shared" ref="D52:D63" si="47">MEDIAN(F52:K52)</f>
        <v>2.3120351410856723</v>
      </c>
      <c r="E52" s="50" t="s">
        <v>350</v>
      </c>
      <c r="F52" s="119">
        <f t="shared" ref="F52:K52" si="48">(F65/(F70+F71))*100%</f>
        <v>2.791259997305064</v>
      </c>
      <c r="G52" s="119">
        <f t="shared" si="48"/>
        <v>3.0006909276051346</v>
      </c>
      <c r="H52" s="119">
        <f t="shared" si="48"/>
        <v>9.8945593416190523</v>
      </c>
      <c r="I52" s="119">
        <f t="shared" si="48"/>
        <v>-2.2589600213428964</v>
      </c>
      <c r="J52" s="119">
        <f t="shared" si="48"/>
        <v>1.8328102848662806</v>
      </c>
      <c r="K52" s="120">
        <f t="shared" si="48"/>
        <v>0.99455148050784581</v>
      </c>
    </row>
    <row r="53" spans="1:11" s="43" customFormat="1" ht="13.2" x14ac:dyDescent="0.25">
      <c r="A53" s="139">
        <f t="shared" si="44"/>
        <v>-0.24317605443973175</v>
      </c>
      <c r="B53" s="139">
        <f t="shared" si="45"/>
        <v>0.54305970149253735</v>
      </c>
      <c r="C53" s="160">
        <f t="shared" si="46"/>
        <v>0.11496908595000227</v>
      </c>
      <c r="D53" s="160">
        <f t="shared" si="47"/>
        <v>7.9996348373601769E-2</v>
      </c>
      <c r="E53" s="50" t="s">
        <v>351</v>
      </c>
      <c r="F53" s="177"/>
      <c r="G53" s="119">
        <f t="shared" ref="G53:K53" si="49">(G66/G70)*100%</f>
        <v>0.23518825301204818</v>
      </c>
      <c r="H53" s="119">
        <f t="shared" si="49"/>
        <v>0.54305970149253735</v>
      </c>
      <c r="I53" s="177"/>
      <c r="J53" s="119">
        <f t="shared" si="49"/>
        <v>-0.24317605443973175</v>
      </c>
      <c r="K53" s="120">
        <f t="shared" si="49"/>
        <v>-7.5195556264844657E-2</v>
      </c>
    </row>
    <row r="54" spans="1:11" s="43" customFormat="1" ht="13.2" x14ac:dyDescent="0.25">
      <c r="A54" s="139">
        <f t="shared" si="44"/>
        <v>-5.891434063874598E-4</v>
      </c>
      <c r="B54" s="139">
        <f t="shared" si="45"/>
        <v>2.8132013614940235E-2</v>
      </c>
      <c r="C54" s="160">
        <f t="shared" si="46"/>
        <v>1.5207877267283247E-2</v>
      </c>
      <c r="D54" s="160">
        <f t="shared" si="47"/>
        <v>1.4587909292278311E-2</v>
      </c>
      <c r="E54" s="50" t="s">
        <v>342</v>
      </c>
      <c r="F54" s="119">
        <f>(F67/SUM(F72:F74))*100%</f>
        <v>8.841158133669421E-3</v>
      </c>
      <c r="G54" s="119">
        <f t="shared" ref="G54:K54" si="50">(G67/SUM(G72:G74))*100%</f>
        <v>1.0419166946041562E-2</v>
      </c>
      <c r="H54" s="119">
        <f t="shared" si="50"/>
        <v>2.8132013614940235E-2</v>
      </c>
      <c r="I54" s="119">
        <f t="shared" si="50"/>
        <v>-5.891434063874598E-4</v>
      </c>
      <c r="J54" s="119">
        <f t="shared" si="50"/>
        <v>1.8756651638515059E-2</v>
      </c>
      <c r="K54" s="120">
        <f t="shared" si="50"/>
        <v>2.568741667692066E-2</v>
      </c>
    </row>
    <row r="55" spans="1:11" s="43" customFormat="1" ht="13.2" x14ac:dyDescent="0.25">
      <c r="A55" s="139">
        <f t="shared" si="44"/>
        <v>2.3160274967251235E-2</v>
      </c>
      <c r="B55" s="139">
        <f t="shared" si="45"/>
        <v>6.0002167471005619E-2</v>
      </c>
      <c r="C55" s="160">
        <f t="shared" si="46"/>
        <v>3.7802859065654733E-2</v>
      </c>
      <c r="D55" s="160">
        <f t="shared" si="47"/>
        <v>3.5690355745754243E-2</v>
      </c>
      <c r="E55" s="50" t="s">
        <v>343</v>
      </c>
      <c r="F55" s="119">
        <f>((F72-F76)/F76)*100%</f>
        <v>3.6112703477784641E-2</v>
      </c>
      <c r="G55" s="119">
        <f t="shared" ref="G55:K57" si="51">((G72-G76)/G76)*100%</f>
        <v>3.5268008013723838E-2</v>
      </c>
      <c r="H55" s="119">
        <f t="shared" si="51"/>
        <v>6.0002167471005619E-2</v>
      </c>
      <c r="I55" s="119">
        <f t="shared" si="51"/>
        <v>2.3160274967251235E-2</v>
      </c>
      <c r="J55" s="119">
        <f t="shared" si="51"/>
        <v>4.4988872525009584E-2</v>
      </c>
      <c r="K55" s="120">
        <f t="shared" si="51"/>
        <v>2.728512793915349E-2</v>
      </c>
    </row>
    <row r="56" spans="1:11" s="43" customFormat="1" ht="13.2" x14ac:dyDescent="0.25">
      <c r="A56" s="139">
        <f t="shared" si="44"/>
        <v>-0.55713402136719503</v>
      </c>
      <c r="B56" s="139">
        <f t="shared" si="45"/>
        <v>-0.11477640516599627</v>
      </c>
      <c r="C56" s="160">
        <f t="shared" si="46"/>
        <v>-0.3788612158954156</v>
      </c>
      <c r="D56" s="160">
        <f t="shared" si="47"/>
        <v>-0.38634869184810672</v>
      </c>
      <c r="E56" s="50" t="s">
        <v>344</v>
      </c>
      <c r="F56" s="119">
        <f>((F73-F77)/F77)*100%</f>
        <v>-0.37777332605229463</v>
      </c>
      <c r="G56" s="119">
        <f t="shared" si="51"/>
        <v>-0.37757677069416151</v>
      </c>
      <c r="H56" s="119">
        <f t="shared" si="51"/>
        <v>-0.39492405764391886</v>
      </c>
      <c r="I56" s="119">
        <f t="shared" si="51"/>
        <v>-0.45098271444892707</v>
      </c>
      <c r="J56" s="119">
        <f t="shared" si="51"/>
        <v>-0.55713402136719503</v>
      </c>
      <c r="K56" s="120">
        <f t="shared" si="51"/>
        <v>-0.11477640516599627</v>
      </c>
    </row>
    <row r="57" spans="1:11" s="43" customFormat="1" ht="13.2" x14ac:dyDescent="0.25">
      <c r="A57" s="139">
        <f t="shared" si="44"/>
        <v>-0.5</v>
      </c>
      <c r="B57" s="139">
        <f t="shared" si="45"/>
        <v>-0.5</v>
      </c>
      <c r="C57" s="160">
        <f t="shared" si="46"/>
        <v>-0.5</v>
      </c>
      <c r="D57" s="160">
        <f t="shared" si="47"/>
        <v>-0.5</v>
      </c>
      <c r="E57" s="50" t="s">
        <v>346</v>
      </c>
      <c r="F57" s="177"/>
      <c r="G57" s="177"/>
      <c r="H57" s="177"/>
      <c r="I57" s="177"/>
      <c r="J57" s="119">
        <f t="shared" si="51"/>
        <v>-0.5</v>
      </c>
      <c r="K57" s="178"/>
    </row>
    <row r="58" spans="1:11" s="43" customFormat="1" ht="13.2" x14ac:dyDescent="0.25">
      <c r="A58" s="139">
        <f t="shared" si="44"/>
        <v>-2.4734924303806646E-3</v>
      </c>
      <c r="B58" s="139">
        <f t="shared" si="45"/>
        <v>2.7508343937515951E-2</v>
      </c>
      <c r="C58" s="155">
        <f t="shared" si="46"/>
        <v>1.136285388820224E-2</v>
      </c>
      <c r="D58" s="156">
        <f t="shared" si="47"/>
        <v>1.0238491176062922E-2</v>
      </c>
      <c r="E58" s="50" t="s">
        <v>356</v>
      </c>
      <c r="F58" s="71">
        <f>F68/(F70+F71+F72+F73+F74+F75)</f>
        <v>7.3539906573810944E-3</v>
      </c>
      <c r="G58" s="71">
        <f t="shared" ref="G58:K58" si="52">G68/(G70+G71+G72+G73+G74)</f>
        <v>3.4614609586542744E-3</v>
      </c>
      <c r="H58" s="71">
        <f t="shared" si="52"/>
        <v>2.7508343937515951E-2</v>
      </c>
      <c r="I58" s="71">
        <f t="shared" si="52"/>
        <v>-2.4734924303806646E-3</v>
      </c>
      <c r="J58" s="71">
        <f t="shared" si="52"/>
        <v>1.3122991694744748E-2</v>
      </c>
      <c r="K58" s="72">
        <f t="shared" si="52"/>
        <v>1.9203828511298038E-2</v>
      </c>
    </row>
    <row r="59" spans="1:11" s="43" customFormat="1" ht="13.2" x14ac:dyDescent="0.25">
      <c r="A59" s="139">
        <f t="shared" si="44"/>
        <v>-2.5801943065727022E-3</v>
      </c>
      <c r="B59" s="139">
        <f t="shared" si="45"/>
        <v>2.749791791353225E-2</v>
      </c>
      <c r="C59" s="155">
        <f t="shared" si="46"/>
        <v>1.1342109101183133E-2</v>
      </c>
      <c r="D59" s="156">
        <f t="shared" si="47"/>
        <v>1.0237469490996144E-2</v>
      </c>
      <c r="E59" s="50" t="s">
        <v>361</v>
      </c>
      <c r="F59" s="71">
        <f>F69/(F70+F71+F72+F73+F74+F75)</f>
        <v>7.3519472872475384E-3</v>
      </c>
      <c r="G59" s="71">
        <f t="shared" ref="G59:K59" si="53">G69/(G70+G71+G72+G73+G74+G75)</f>
        <v>3.4561635068489204E-3</v>
      </c>
      <c r="H59" s="71">
        <f t="shared" si="53"/>
        <v>2.749791791353225E-2</v>
      </c>
      <c r="I59" s="71">
        <f t="shared" si="53"/>
        <v>-2.5801943065727022E-3</v>
      </c>
      <c r="J59" s="71">
        <f t="shared" si="53"/>
        <v>1.3122991694744748E-2</v>
      </c>
      <c r="K59" s="72">
        <f t="shared" si="53"/>
        <v>1.9203828511298038E-2</v>
      </c>
    </row>
    <row r="60" spans="1:11" s="43" customFormat="1" ht="26.4" x14ac:dyDescent="0.25">
      <c r="A60" s="139">
        <f t="shared" si="44"/>
        <v>-3.3164955494691087E-3</v>
      </c>
      <c r="B60" s="139">
        <f t="shared" si="45"/>
        <v>2.7757539409687736E-2</v>
      </c>
      <c r="C60" s="160">
        <f t="shared" si="46"/>
        <v>1.1201254407074888E-2</v>
      </c>
      <c r="D60" s="160">
        <f t="shared" si="47"/>
        <v>1.0665950542653818E-2</v>
      </c>
      <c r="E60" s="50" t="s">
        <v>372</v>
      </c>
      <c r="F60" s="119">
        <f>F65/F79*100%</f>
        <v>6.1453559819959125E-3</v>
      </c>
      <c r="G60" s="119">
        <f t="shared" ref="G60:K60" si="54">G65/G79*100%</f>
        <v>9.0030605321500898E-3</v>
      </c>
      <c r="H60" s="119">
        <f t="shared" si="54"/>
        <v>2.7757539409687736E-2</v>
      </c>
      <c r="I60" s="119">
        <f t="shared" si="54"/>
        <v>-3.3164955494691087E-3</v>
      </c>
      <c r="J60" s="119">
        <f t="shared" si="54"/>
        <v>1.2328840553157545E-2</v>
      </c>
      <c r="K60" s="120">
        <f t="shared" si="54"/>
        <v>1.5289225514927162E-2</v>
      </c>
    </row>
    <row r="61" spans="1:11" s="43" customFormat="1" ht="13.2" x14ac:dyDescent="0.25">
      <c r="A61" s="139">
        <f t="shared" si="44"/>
        <v>-2.5481455857680421E-3</v>
      </c>
      <c r="B61" s="139">
        <f t="shared" si="45"/>
        <v>2.9444374557576852E-2</v>
      </c>
      <c r="C61" s="155">
        <f t="shared" si="46"/>
        <v>1.0573442318029341E-2</v>
      </c>
      <c r="D61" s="156">
        <f t="shared" si="47"/>
        <v>9.7319093775932227E-3</v>
      </c>
      <c r="E61" s="50" t="s">
        <v>373</v>
      </c>
      <c r="F61" s="71">
        <f>F69/F79</f>
        <v>8.3271070132561135E-3</v>
      </c>
      <c r="G61" s="71">
        <f t="shared" ref="G61:K61" si="55">G69/G79</f>
        <v>3.8174650946450383E-3</v>
      </c>
      <c r="H61" s="71">
        <f t="shared" si="55"/>
        <v>2.9444374557576852E-2</v>
      </c>
      <c r="I61" s="71">
        <f t="shared" si="55"/>
        <v>-2.5481455857680421E-3</v>
      </c>
      <c r="J61" s="71">
        <f t="shared" si="55"/>
        <v>1.1136711741930332E-2</v>
      </c>
      <c r="K61" s="72">
        <f t="shared" si="55"/>
        <v>1.3263141086535743E-2</v>
      </c>
    </row>
    <row r="62" spans="1:11" s="43" customFormat="1" ht="13.2" x14ac:dyDescent="0.25">
      <c r="A62" s="139">
        <f t="shared" si="44"/>
        <v>-5.1131055539540742E-3</v>
      </c>
      <c r="B62" s="139">
        <f t="shared" si="45"/>
        <v>2.062243197378685E-2</v>
      </c>
      <c r="C62" s="155">
        <f t="shared" si="46"/>
        <v>2.1327999666129359E-3</v>
      </c>
      <c r="D62" s="156">
        <f t="shared" si="47"/>
        <v>8.3085531858493182E-5</v>
      </c>
      <c r="E62" s="50" t="s">
        <v>374</v>
      </c>
      <c r="F62" s="71">
        <f>F69/F80</f>
        <v>2.062243197378685E-2</v>
      </c>
      <c r="G62" s="71">
        <f>G66/G80</f>
        <v>1.6617106371698636E-4</v>
      </c>
      <c r="H62" s="71">
        <f>H66/H80</f>
        <v>9.7740754887752287E-4</v>
      </c>
      <c r="I62" s="71">
        <f>I66/I80</f>
        <v>0</v>
      </c>
      <c r="J62" s="71">
        <f>J66/J80</f>
        <v>-5.1131055539540742E-3</v>
      </c>
      <c r="K62" s="72">
        <f>K66/K80</f>
        <v>-3.8561052327496701E-3</v>
      </c>
    </row>
    <row r="63" spans="1:11" s="43" customFormat="1" ht="13.8" thickBot="1" x14ac:dyDescent="0.3">
      <c r="A63" s="139">
        <f t="shared" si="44"/>
        <v>-9.719249141610313E-3</v>
      </c>
      <c r="B63" s="139">
        <f t="shared" si="45"/>
        <v>7.3469268834574969E-2</v>
      </c>
      <c r="C63" s="155">
        <f t="shared" si="46"/>
        <v>3.2009861415493217E-2</v>
      </c>
      <c r="D63" s="156">
        <f t="shared" si="47"/>
        <v>3.1039270141873784E-2</v>
      </c>
      <c r="E63" s="51" t="s">
        <v>302</v>
      </c>
      <c r="F63" s="73">
        <f t="shared" ref="F63:K63" si="56">F65/(F80+F81)</f>
        <v>1.5219233461473101E-2</v>
      </c>
      <c r="G63" s="73">
        <f t="shared" si="56"/>
        <v>2.2921450209822555E-2</v>
      </c>
      <c r="H63" s="73">
        <f t="shared" si="56"/>
        <v>7.3469268834574969E-2</v>
      </c>
      <c r="I63" s="73">
        <f t="shared" si="56"/>
        <v>-9.719249141610313E-3</v>
      </c>
      <c r="J63" s="73">
        <f t="shared" si="56"/>
        <v>3.9157090073925017E-2</v>
      </c>
      <c r="K63" s="74">
        <f t="shared" si="56"/>
        <v>5.1011375054773947E-2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5">
        <f>F97</f>
        <v>29207.94</v>
      </c>
      <c r="G65" s="75">
        <f t="shared" ref="G65:K65" si="57">G97</f>
        <v>43082.45</v>
      </c>
      <c r="H65" s="75">
        <f t="shared" si="57"/>
        <v>136748.45000000001</v>
      </c>
      <c r="I65" s="75">
        <f t="shared" si="57"/>
        <v>-16680.59</v>
      </c>
      <c r="J65" s="75">
        <f t="shared" si="57"/>
        <v>67704.91</v>
      </c>
      <c r="K65" s="75">
        <f t="shared" si="57"/>
        <v>85081.9</v>
      </c>
    </row>
    <row r="66" spans="3:12" s="43" customFormat="1" ht="26.4" x14ac:dyDescent="0.25">
      <c r="C66" s="79"/>
      <c r="D66" s="79"/>
      <c r="E66" s="52" t="s">
        <v>352</v>
      </c>
      <c r="F66" s="75">
        <f>F95</f>
        <v>0</v>
      </c>
      <c r="G66" s="75">
        <f t="shared" ref="G66:K66" si="58">G95</f>
        <v>312.33</v>
      </c>
      <c r="H66" s="75">
        <f t="shared" si="58"/>
        <v>1819.25</v>
      </c>
      <c r="I66" s="75">
        <f t="shared" si="58"/>
        <v>0</v>
      </c>
      <c r="J66" s="75">
        <f t="shared" si="58"/>
        <v>-8840.86</v>
      </c>
      <c r="K66" s="75">
        <f t="shared" si="58"/>
        <v>-6431.6</v>
      </c>
    </row>
    <row r="67" spans="3:12" s="43" customFormat="1" ht="13.2" x14ac:dyDescent="0.25">
      <c r="C67" s="79"/>
      <c r="D67" s="79"/>
      <c r="E67" s="43" t="s">
        <v>345</v>
      </c>
      <c r="F67" s="75">
        <f>F92</f>
        <v>47501.77</v>
      </c>
      <c r="G67" s="75">
        <f t="shared" ref="G67:K67" si="59">G92</f>
        <v>54921.54</v>
      </c>
      <c r="H67" s="75">
        <f t="shared" si="59"/>
        <v>148014.92000000001</v>
      </c>
      <c r="I67" s="75">
        <f t="shared" si="59"/>
        <v>-2921.99</v>
      </c>
      <c r="J67" s="75">
        <f t="shared" si="59"/>
        <v>86720.39</v>
      </c>
      <c r="K67" s="75">
        <f t="shared" si="59"/>
        <v>96528.3</v>
      </c>
    </row>
    <row r="68" spans="3:12" s="43" customFormat="1" ht="13.2" x14ac:dyDescent="0.25">
      <c r="C68" s="79"/>
      <c r="D68" s="79"/>
      <c r="E68" s="43" t="s">
        <v>341</v>
      </c>
      <c r="F68" s="75">
        <f>F102</f>
        <v>39588.47</v>
      </c>
      <c r="G68" s="75">
        <f t="shared" ref="G68:K68" si="60">G102</f>
        <v>18295.759999999998</v>
      </c>
      <c r="H68" s="75">
        <f t="shared" si="60"/>
        <v>145113.70000000001</v>
      </c>
      <c r="I68" s="75">
        <f t="shared" si="60"/>
        <v>-12286.11</v>
      </c>
      <c r="J68" s="75">
        <f t="shared" si="60"/>
        <v>61158.23</v>
      </c>
      <c r="K68" s="75">
        <f t="shared" si="60"/>
        <v>73807.09</v>
      </c>
    </row>
    <row r="69" spans="3:12" s="43" customFormat="1" ht="13.2" x14ac:dyDescent="0.25">
      <c r="C69" s="79"/>
      <c r="D69" s="79"/>
      <c r="E69" s="43" t="s">
        <v>315</v>
      </c>
      <c r="F69" s="75">
        <f>F104</f>
        <v>39577.47</v>
      </c>
      <c r="G69" s="75">
        <f t="shared" ref="G69:K69" si="61">G104</f>
        <v>18267.759999999998</v>
      </c>
      <c r="H69" s="75">
        <f t="shared" si="61"/>
        <v>145058.70000000001</v>
      </c>
      <c r="I69" s="75">
        <f t="shared" si="61"/>
        <v>-12816.11</v>
      </c>
      <c r="J69" s="75">
        <f t="shared" si="61"/>
        <v>61158.23</v>
      </c>
      <c r="K69" s="75">
        <f t="shared" si="61"/>
        <v>73807.09</v>
      </c>
    </row>
    <row r="70" spans="3:12" s="43" customFormat="1" ht="13.2" x14ac:dyDescent="0.25">
      <c r="C70" s="79"/>
      <c r="D70" s="79"/>
      <c r="E70" s="43" t="s">
        <v>358</v>
      </c>
      <c r="F70" s="75">
        <f>F93</f>
        <v>0</v>
      </c>
      <c r="G70" s="75">
        <f t="shared" ref="G70:K70" si="62">G93</f>
        <v>1328</v>
      </c>
      <c r="H70" s="75">
        <f t="shared" si="62"/>
        <v>3350</v>
      </c>
      <c r="I70" s="75">
        <f t="shared" si="62"/>
        <v>0</v>
      </c>
      <c r="J70" s="75">
        <f t="shared" si="62"/>
        <v>36355.800000000003</v>
      </c>
      <c r="K70" s="75">
        <f t="shared" si="62"/>
        <v>85531.65</v>
      </c>
    </row>
    <row r="71" spans="3:12" s="43" customFormat="1" ht="13.2" x14ac:dyDescent="0.25">
      <c r="C71" s="79"/>
      <c r="D71" s="79"/>
      <c r="E71" s="43" t="s">
        <v>359</v>
      </c>
      <c r="F71" s="75">
        <f>F98</f>
        <v>10464.07</v>
      </c>
      <c r="G71" s="75">
        <f t="shared" ref="G71:K71" si="63">G98</f>
        <v>13029.51</v>
      </c>
      <c r="H71" s="75">
        <f t="shared" si="63"/>
        <v>10470.57</v>
      </c>
      <c r="I71" s="75">
        <f t="shared" si="63"/>
        <v>7384.19</v>
      </c>
      <c r="J71" s="75">
        <f t="shared" si="63"/>
        <v>584.69000000000005</v>
      </c>
      <c r="K71" s="75">
        <f t="shared" si="63"/>
        <v>16.36</v>
      </c>
    </row>
    <row r="72" spans="3:12" s="43" customFormat="1" ht="13.2" x14ac:dyDescent="0.25">
      <c r="C72" s="79"/>
      <c r="D72" s="79"/>
      <c r="E72" s="43" t="s">
        <v>347</v>
      </c>
      <c r="F72" s="75">
        <f>F85</f>
        <v>5155096.8099999996</v>
      </c>
      <c r="G72" s="75">
        <f t="shared" ref="G72:K74" si="64">G85</f>
        <v>5076646.6399999997</v>
      </c>
      <c r="H72" s="75">
        <f t="shared" si="64"/>
        <v>5050225.9800000004</v>
      </c>
      <c r="I72" s="75">
        <f t="shared" si="64"/>
        <v>4823256.34</v>
      </c>
      <c r="J72" s="75">
        <f t="shared" si="64"/>
        <v>4536755.08</v>
      </c>
      <c r="K72" s="75">
        <f t="shared" si="64"/>
        <v>3736804.89</v>
      </c>
    </row>
    <row r="73" spans="3:12" s="43" customFormat="1" ht="13.2" x14ac:dyDescent="0.25">
      <c r="C73" s="79"/>
      <c r="D73" s="79"/>
      <c r="E73" s="43" t="s">
        <v>348</v>
      </c>
      <c r="F73" s="75">
        <f>F86</f>
        <v>217702.69</v>
      </c>
      <c r="G73" s="75">
        <f t="shared" si="64"/>
        <v>194555.97</v>
      </c>
      <c r="H73" s="75">
        <f t="shared" si="64"/>
        <v>211214.67</v>
      </c>
      <c r="I73" s="75">
        <f t="shared" si="64"/>
        <v>136469.88</v>
      </c>
      <c r="J73" s="75">
        <f t="shared" si="64"/>
        <v>84892.2</v>
      </c>
      <c r="K73" s="75">
        <f t="shared" si="64"/>
        <v>21000</v>
      </c>
      <c r="L73" s="76"/>
    </row>
    <row r="74" spans="3:12" s="43" customFormat="1" ht="13.2" x14ac:dyDescent="0.25">
      <c r="C74" s="79"/>
      <c r="D74" s="79"/>
      <c r="E74" s="43" t="s">
        <v>349</v>
      </c>
      <c r="F74" s="75">
        <f>F87</f>
        <v>0</v>
      </c>
      <c r="G74" s="75">
        <f t="shared" si="64"/>
        <v>0</v>
      </c>
      <c r="H74" s="75">
        <f t="shared" si="64"/>
        <v>0</v>
      </c>
      <c r="I74" s="75">
        <f t="shared" si="64"/>
        <v>0</v>
      </c>
      <c r="J74" s="75">
        <f t="shared" si="64"/>
        <v>1800</v>
      </c>
      <c r="K74" s="75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5">
        <f>F100</f>
        <v>0</v>
      </c>
      <c r="G75" s="75">
        <f t="shared" ref="G75:K75" si="65">G100</f>
        <v>0</v>
      </c>
      <c r="H75" s="75">
        <f t="shared" si="65"/>
        <v>0</v>
      </c>
      <c r="I75" s="75">
        <f t="shared" si="65"/>
        <v>0</v>
      </c>
      <c r="J75" s="75">
        <f t="shared" si="65"/>
        <v>0</v>
      </c>
      <c r="K75" s="75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5">
        <f>F89</f>
        <v>4975420.91</v>
      </c>
      <c r="G76" s="75">
        <f t="shared" ref="G76:K78" si="66">G89</f>
        <v>4903702.8099999996</v>
      </c>
      <c r="H76" s="75">
        <f t="shared" si="66"/>
        <v>4764354.3899999997</v>
      </c>
      <c r="I76" s="75">
        <f t="shared" si="66"/>
        <v>4714077.0199999996</v>
      </c>
      <c r="J76" s="75">
        <f t="shared" si="66"/>
        <v>4341438.6500000004</v>
      </c>
      <c r="K76" s="75">
        <f t="shared" si="66"/>
        <v>3637553.77</v>
      </c>
    </row>
    <row r="77" spans="3:12" s="43" customFormat="1" ht="13.2" x14ac:dyDescent="0.25">
      <c r="C77" s="79"/>
      <c r="D77" s="79"/>
      <c r="E77" s="43" t="s">
        <v>354</v>
      </c>
      <c r="F77" s="75">
        <f>F90</f>
        <v>349876.82</v>
      </c>
      <c r="G77" s="75">
        <f t="shared" si="66"/>
        <v>312578.26</v>
      </c>
      <c r="H77" s="75">
        <f t="shared" si="66"/>
        <v>349071.34</v>
      </c>
      <c r="I77" s="75">
        <f t="shared" si="66"/>
        <v>248571.19</v>
      </c>
      <c r="J77" s="75">
        <f t="shared" si="66"/>
        <v>191688.24</v>
      </c>
      <c r="K77" s="75">
        <f t="shared" si="66"/>
        <v>23722.82</v>
      </c>
    </row>
    <row r="78" spans="3:12" s="43" customFormat="1" ht="13.2" x14ac:dyDescent="0.25">
      <c r="C78" s="79"/>
      <c r="D78" s="79"/>
      <c r="E78" s="43" t="s">
        <v>355</v>
      </c>
      <c r="F78" s="75">
        <f>F91</f>
        <v>0</v>
      </c>
      <c r="G78" s="75">
        <f t="shared" si="66"/>
        <v>0</v>
      </c>
      <c r="H78" s="75">
        <f t="shared" si="66"/>
        <v>0</v>
      </c>
      <c r="I78" s="75">
        <f t="shared" si="66"/>
        <v>0</v>
      </c>
      <c r="J78" s="75">
        <f t="shared" si="66"/>
        <v>3600</v>
      </c>
      <c r="K78" s="75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5">
        <f>F120</f>
        <v>4752847.53</v>
      </c>
      <c r="G79" s="75">
        <f t="shared" ref="G79:K79" si="67">G120</f>
        <v>4785311.5999999996</v>
      </c>
      <c r="H79" s="75">
        <f t="shared" si="67"/>
        <v>4926533.58</v>
      </c>
      <c r="I79" s="75">
        <f t="shared" si="67"/>
        <v>5029583.1100000003</v>
      </c>
      <c r="J79" s="75">
        <f t="shared" si="67"/>
        <v>5491587.7699999996</v>
      </c>
      <c r="K79" s="75">
        <f t="shared" si="67"/>
        <v>5564827.3300000001</v>
      </c>
    </row>
    <row r="80" spans="3:12" s="43" customFormat="1" ht="13.2" x14ac:dyDescent="0.25">
      <c r="C80" s="79"/>
      <c r="D80" s="79"/>
      <c r="E80" s="43" t="s">
        <v>311</v>
      </c>
      <c r="F80" s="75">
        <f>F122</f>
        <v>1919146.59</v>
      </c>
      <c r="G80" s="75">
        <f t="shared" ref="G80:K80" si="68">G122</f>
        <v>1879569.12</v>
      </c>
      <c r="H80" s="75">
        <f t="shared" si="68"/>
        <v>1861301.36</v>
      </c>
      <c r="I80" s="75">
        <f t="shared" si="68"/>
        <v>1716242.66</v>
      </c>
      <c r="J80" s="75">
        <f t="shared" si="68"/>
        <v>1729058.77</v>
      </c>
      <c r="K80" s="75">
        <f t="shared" si="68"/>
        <v>1667900.54</v>
      </c>
    </row>
    <row r="81" spans="3:11" s="43" customFormat="1" ht="13.2" x14ac:dyDescent="0.25">
      <c r="C81" s="79"/>
      <c r="D81" s="79"/>
      <c r="E81" s="43" t="s">
        <v>317</v>
      </c>
      <c r="F81" s="75">
        <f>F129</f>
        <v>0</v>
      </c>
      <c r="G81" s="75">
        <f t="shared" ref="G81:K81" si="69">G129</f>
        <v>0</v>
      </c>
      <c r="H81" s="75">
        <f t="shared" si="69"/>
        <v>0</v>
      </c>
      <c r="I81" s="75">
        <f t="shared" si="69"/>
        <v>0</v>
      </c>
      <c r="J81" s="75">
        <f t="shared" si="69"/>
        <v>0</v>
      </c>
      <c r="K81" s="75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5372799.5</v>
      </c>
      <c r="G84" s="90">
        <v>5271202.6100000003</v>
      </c>
      <c r="H84" s="90">
        <v>5261440.6500000004</v>
      </c>
      <c r="I84" s="90">
        <v>4959726.22</v>
      </c>
      <c r="J84" s="90">
        <v>4623447.28</v>
      </c>
      <c r="K84" s="90">
        <v>3757804.89</v>
      </c>
    </row>
    <row r="85" spans="3:11" x14ac:dyDescent="0.3">
      <c r="E85" s="11" t="s">
        <v>3</v>
      </c>
      <c r="F85" s="90">
        <v>5155096.8099999996</v>
      </c>
      <c r="G85" s="90">
        <v>5076646.6399999997</v>
      </c>
      <c r="H85" s="90">
        <v>5050225.9800000004</v>
      </c>
      <c r="I85" s="90">
        <v>4823256.34</v>
      </c>
      <c r="J85" s="90">
        <v>4536755.08</v>
      </c>
      <c r="K85" s="90">
        <v>3736804.89</v>
      </c>
    </row>
    <row r="86" spans="3:11" x14ac:dyDescent="0.3">
      <c r="E86" s="11" t="s">
        <v>4</v>
      </c>
      <c r="F86" s="90">
        <v>217702.69</v>
      </c>
      <c r="G86" s="90">
        <v>194555.97</v>
      </c>
      <c r="H86" s="90">
        <v>211214.67</v>
      </c>
      <c r="I86" s="90">
        <v>136469.88</v>
      </c>
      <c r="J86" s="90">
        <v>84892.2</v>
      </c>
      <c r="K86" s="90">
        <v>21000</v>
      </c>
    </row>
    <row r="87" spans="3:11" x14ac:dyDescent="0.3">
      <c r="E87" s="11" t="s">
        <v>5</v>
      </c>
      <c r="F87" s="90"/>
      <c r="G87" s="90"/>
      <c r="H87" s="107">
        <v>0</v>
      </c>
      <c r="I87" s="107">
        <v>0</v>
      </c>
      <c r="J87" s="90">
        <v>1800</v>
      </c>
      <c r="K87" s="107">
        <v>0</v>
      </c>
    </row>
    <row r="88" spans="3:11" x14ac:dyDescent="0.3">
      <c r="E88" s="11" t="s">
        <v>6</v>
      </c>
      <c r="F88" s="90">
        <v>5325297.7300000004</v>
      </c>
      <c r="G88" s="90">
        <v>5216281.07</v>
      </c>
      <c r="H88" s="90">
        <v>5113425.7300000004</v>
      </c>
      <c r="I88" s="90">
        <v>4962648.21</v>
      </c>
      <c r="J88" s="90">
        <v>4536726.8899999997</v>
      </c>
      <c r="K88" s="90">
        <v>3661276.59</v>
      </c>
    </row>
    <row r="89" spans="3:11" x14ac:dyDescent="0.3">
      <c r="E89" s="11" t="s">
        <v>7</v>
      </c>
      <c r="F89" s="90">
        <v>4975420.91</v>
      </c>
      <c r="G89" s="90">
        <v>4903702.8099999996</v>
      </c>
      <c r="H89" s="90">
        <v>4764354.3899999997</v>
      </c>
      <c r="I89" s="90">
        <v>4714077.0199999996</v>
      </c>
      <c r="J89" s="90">
        <v>4341438.6500000004</v>
      </c>
      <c r="K89" s="90">
        <v>3637553.77</v>
      </c>
    </row>
    <row r="90" spans="3:11" x14ac:dyDescent="0.3">
      <c r="E90" s="11" t="s">
        <v>8</v>
      </c>
      <c r="F90" s="90">
        <v>349876.82</v>
      </c>
      <c r="G90" s="90">
        <v>312578.26</v>
      </c>
      <c r="H90" s="90">
        <v>349071.34</v>
      </c>
      <c r="I90" s="90">
        <v>248571.19</v>
      </c>
      <c r="J90" s="90">
        <v>191688.24</v>
      </c>
      <c r="K90" s="90">
        <v>23722.82</v>
      </c>
    </row>
    <row r="91" spans="3:11" x14ac:dyDescent="0.3">
      <c r="E91" s="11" t="s">
        <v>9</v>
      </c>
      <c r="F91" s="90"/>
      <c r="G91" s="90"/>
      <c r="H91" s="107">
        <v>0</v>
      </c>
      <c r="I91" s="107">
        <v>0</v>
      </c>
      <c r="J91" s="90">
        <v>3600</v>
      </c>
      <c r="K91" s="107">
        <v>0</v>
      </c>
    </row>
    <row r="92" spans="3:11" x14ac:dyDescent="0.3">
      <c r="E92" s="11" t="s">
        <v>10</v>
      </c>
      <c r="F92" s="90">
        <v>47501.77</v>
      </c>
      <c r="G92" s="90">
        <v>54921.54</v>
      </c>
      <c r="H92" s="90">
        <v>148014.92000000001</v>
      </c>
      <c r="I92" s="90">
        <v>-2921.99</v>
      </c>
      <c r="J92" s="90">
        <v>86720.39</v>
      </c>
      <c r="K92" s="90">
        <v>96528.3</v>
      </c>
    </row>
    <row r="93" spans="3:11" x14ac:dyDescent="0.3">
      <c r="E93" s="11" t="s">
        <v>11</v>
      </c>
      <c r="F93" s="107">
        <v>0</v>
      </c>
      <c r="G93" s="90">
        <v>1328</v>
      </c>
      <c r="H93" s="90">
        <v>3350</v>
      </c>
      <c r="I93" s="107">
        <v>0</v>
      </c>
      <c r="J93" s="90">
        <v>36355.800000000003</v>
      </c>
      <c r="K93" s="90">
        <v>85531.65</v>
      </c>
    </row>
    <row r="94" spans="3:11" x14ac:dyDescent="0.3">
      <c r="E94" s="11" t="s">
        <v>12</v>
      </c>
      <c r="F94" s="107">
        <v>0</v>
      </c>
      <c r="G94" s="90">
        <v>1015.67</v>
      </c>
      <c r="H94" s="90">
        <v>1530.75</v>
      </c>
      <c r="I94" s="107">
        <v>0</v>
      </c>
      <c r="J94" s="90">
        <v>45196.66</v>
      </c>
      <c r="K94" s="90">
        <v>91963.25</v>
      </c>
    </row>
    <row r="95" spans="3:11" x14ac:dyDescent="0.3">
      <c r="E95" s="11" t="s">
        <v>13</v>
      </c>
      <c r="F95" s="107">
        <v>0</v>
      </c>
      <c r="G95" s="107">
        <v>312.33</v>
      </c>
      <c r="H95" s="90">
        <v>1819.25</v>
      </c>
      <c r="I95" s="107">
        <v>0</v>
      </c>
      <c r="J95" s="90">
        <v>-8840.86</v>
      </c>
      <c r="K95" s="90">
        <v>-6431.6</v>
      </c>
    </row>
    <row r="96" spans="3:11" x14ac:dyDescent="0.3">
      <c r="E96" s="11" t="s">
        <v>14</v>
      </c>
      <c r="F96" s="90">
        <v>18293.830000000002</v>
      </c>
      <c r="G96" s="90">
        <v>12151.42</v>
      </c>
      <c r="H96" s="90">
        <v>13085.72</v>
      </c>
      <c r="I96" s="90">
        <v>13758.6</v>
      </c>
      <c r="J96" s="90">
        <v>10174.620000000001</v>
      </c>
      <c r="K96" s="90">
        <v>5014.8</v>
      </c>
    </row>
    <row r="97" spans="5:11" x14ac:dyDescent="0.3">
      <c r="E97" s="11" t="s">
        <v>15</v>
      </c>
      <c r="F97" s="90">
        <v>29207.94</v>
      </c>
      <c r="G97" s="90">
        <v>43082.45</v>
      </c>
      <c r="H97" s="90">
        <v>136748.45000000001</v>
      </c>
      <c r="I97" s="90">
        <v>-16680.59</v>
      </c>
      <c r="J97" s="90">
        <v>67704.91</v>
      </c>
      <c r="K97" s="90">
        <v>85081.9</v>
      </c>
    </row>
    <row r="98" spans="5:11" x14ac:dyDescent="0.3">
      <c r="E98" s="11" t="s">
        <v>16</v>
      </c>
      <c r="F98" s="90">
        <v>10464.07</v>
      </c>
      <c r="G98" s="90">
        <v>13029.51</v>
      </c>
      <c r="H98" s="90">
        <v>10470.57</v>
      </c>
      <c r="I98" s="90">
        <v>7384.19</v>
      </c>
      <c r="J98" s="107">
        <v>584.69000000000005</v>
      </c>
      <c r="K98" s="107">
        <v>16.36</v>
      </c>
    </row>
    <row r="99" spans="5:11" x14ac:dyDescent="0.3">
      <c r="E99" s="11" t="s">
        <v>17</v>
      </c>
      <c r="F99" s="107">
        <v>77.87</v>
      </c>
      <c r="G99" s="90">
        <v>37797.879999999997</v>
      </c>
      <c r="H99" s="90">
        <v>1104.79</v>
      </c>
      <c r="I99" s="107">
        <v>0</v>
      </c>
      <c r="J99" s="90"/>
      <c r="K99" s="90"/>
    </row>
    <row r="100" spans="5:11" x14ac:dyDescent="0.3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3">
      <c r="E101" s="11" t="s">
        <v>19</v>
      </c>
      <c r="F101" s="107">
        <v>5.67</v>
      </c>
      <c r="G101" s="107">
        <v>18.32</v>
      </c>
      <c r="H101" s="90">
        <v>1000.53</v>
      </c>
      <c r="I101" s="90">
        <v>2989.71</v>
      </c>
      <c r="J101" s="90">
        <v>7131.37</v>
      </c>
      <c r="K101" s="90">
        <v>11291.17</v>
      </c>
    </row>
    <row r="102" spans="5:11" x14ac:dyDescent="0.3">
      <c r="E102" s="11" t="s">
        <v>20</v>
      </c>
      <c r="F102" s="90">
        <v>39588.47</v>
      </c>
      <c r="G102" s="90">
        <v>18295.759999999998</v>
      </c>
      <c r="H102" s="90">
        <v>145113.70000000001</v>
      </c>
      <c r="I102" s="90">
        <v>-12286.11</v>
      </c>
      <c r="J102" s="90">
        <v>61158.23</v>
      </c>
      <c r="K102" s="90">
        <v>73807.09</v>
      </c>
    </row>
    <row r="103" spans="5:11" x14ac:dyDescent="0.3">
      <c r="E103" s="11" t="s">
        <v>21</v>
      </c>
      <c r="F103" s="107">
        <v>11</v>
      </c>
      <c r="G103" s="107">
        <v>28</v>
      </c>
      <c r="H103" s="107">
        <v>55</v>
      </c>
      <c r="I103" s="107">
        <v>530</v>
      </c>
      <c r="J103" s="90"/>
      <c r="K103" s="90"/>
    </row>
    <row r="104" spans="5:11" x14ac:dyDescent="0.3">
      <c r="E104" s="11" t="s">
        <v>22</v>
      </c>
      <c r="F104" s="90">
        <v>39577.47</v>
      </c>
      <c r="G104" s="90">
        <v>18267.759999999998</v>
      </c>
      <c r="H104" s="90">
        <v>145058.70000000001</v>
      </c>
      <c r="I104" s="90">
        <v>-12816.11</v>
      </c>
      <c r="J104" s="90">
        <v>61158.23</v>
      </c>
      <c r="K104" s="90">
        <v>73807.09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4307649.6500000004</v>
      </c>
      <c r="G108" s="90">
        <v>4445822.78</v>
      </c>
      <c r="H108" s="90">
        <v>4643737.57</v>
      </c>
      <c r="I108" s="90">
        <v>4795833.37</v>
      </c>
      <c r="J108" s="90">
        <v>5276589.09</v>
      </c>
      <c r="K108" s="90">
        <v>5428208.3899999997</v>
      </c>
    </row>
    <row r="109" spans="5:11" ht="15" customHeight="1" x14ac:dyDescent="0.3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4307649.6500000004</v>
      </c>
      <c r="G110" s="90">
        <v>4445822.78</v>
      </c>
      <c r="H110" s="90">
        <v>4643737.57</v>
      </c>
      <c r="I110" s="90">
        <v>4795833.37</v>
      </c>
      <c r="J110" s="90">
        <v>5276589.09</v>
      </c>
      <c r="K110" s="90">
        <v>5427208.3099999996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3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3" x14ac:dyDescent="0.3">
      <c r="E114" s="7" t="s">
        <v>33</v>
      </c>
      <c r="F114" s="90">
        <v>445197.88</v>
      </c>
      <c r="G114" s="90">
        <v>339488.82</v>
      </c>
      <c r="H114" s="90">
        <v>282796.01</v>
      </c>
      <c r="I114" s="90">
        <v>233749.74</v>
      </c>
      <c r="J114" s="90">
        <v>214998.68</v>
      </c>
      <c r="K114" s="90">
        <v>136618.94</v>
      </c>
    </row>
    <row r="115" spans="5:13" x14ac:dyDescent="0.3">
      <c r="E115" s="8" t="s">
        <v>34</v>
      </c>
      <c r="F115" s="90">
        <v>68249.08</v>
      </c>
      <c r="G115" s="90">
        <v>54465.31</v>
      </c>
      <c r="H115" s="90">
        <v>55150.89</v>
      </c>
      <c r="I115" s="90">
        <v>31307.74</v>
      </c>
      <c r="J115" s="90">
        <v>33541.64</v>
      </c>
      <c r="K115" s="90">
        <v>51008.31</v>
      </c>
    </row>
    <row r="116" spans="5:13" ht="15" customHeight="1" x14ac:dyDescent="0.3">
      <c r="E116" s="8" t="s">
        <v>35</v>
      </c>
      <c r="F116" s="90">
        <v>33724.410000000003</v>
      </c>
      <c r="G116" s="90">
        <v>23008.75</v>
      </c>
      <c r="H116" s="90">
        <v>32228</v>
      </c>
      <c r="I116" s="90">
        <v>15387.17</v>
      </c>
      <c r="J116" s="90">
        <v>21376.87</v>
      </c>
      <c r="K116" s="90">
        <v>21385.02</v>
      </c>
    </row>
    <row r="117" spans="5:13" ht="15" customHeight="1" x14ac:dyDescent="0.3">
      <c r="E117" s="8" t="s">
        <v>36</v>
      </c>
      <c r="F117" s="90">
        <v>343224.39</v>
      </c>
      <c r="G117" s="90">
        <v>262014.76</v>
      </c>
      <c r="H117" s="90">
        <v>195417.12</v>
      </c>
      <c r="I117" s="90">
        <v>187054.83</v>
      </c>
      <c r="J117" s="90">
        <v>160080.17000000001</v>
      </c>
      <c r="K117" s="90">
        <v>64225.61</v>
      </c>
    </row>
    <row r="118" spans="5:13" ht="15" customHeight="1" x14ac:dyDescent="0.3">
      <c r="E118" s="8" t="s">
        <v>37</v>
      </c>
      <c r="F118" s="90"/>
      <c r="G118" s="90"/>
      <c r="H118" s="90"/>
      <c r="I118" s="90"/>
      <c r="J118" s="90"/>
      <c r="K118" s="90"/>
    </row>
    <row r="119" spans="5:13" ht="15" customHeight="1" x14ac:dyDescent="0.3">
      <c r="E119" s="7" t="s">
        <v>38</v>
      </c>
      <c r="F119" s="90"/>
      <c r="G119" s="90"/>
      <c r="H119" s="90"/>
      <c r="I119" s="90"/>
      <c r="J119" s="90"/>
      <c r="K119" s="90"/>
    </row>
    <row r="120" spans="5:13" x14ac:dyDescent="0.3">
      <c r="E120" s="7" t="s">
        <v>39</v>
      </c>
      <c r="F120" s="90">
        <v>4752847.53</v>
      </c>
      <c r="G120" s="90">
        <v>4785311.5999999996</v>
      </c>
      <c r="H120" s="90">
        <v>4926533.58</v>
      </c>
      <c r="I120" s="90">
        <v>5029583.1100000003</v>
      </c>
      <c r="J120" s="90">
        <v>5491587.7699999996</v>
      </c>
      <c r="K120" s="90">
        <v>5564827.3300000001</v>
      </c>
    </row>
    <row r="121" spans="5:13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3">
      <c r="E122" s="7" t="s">
        <v>41</v>
      </c>
      <c r="F122" s="90">
        <v>1919146.59</v>
      </c>
      <c r="G122" s="90">
        <v>1879569.12</v>
      </c>
      <c r="H122" s="90">
        <v>1861301.36</v>
      </c>
      <c r="I122" s="90">
        <v>1716242.66</v>
      </c>
      <c r="J122" s="90">
        <v>1729058.77</v>
      </c>
      <c r="K122" s="90">
        <v>1667900.54</v>
      </c>
    </row>
    <row r="123" spans="5:13" x14ac:dyDescent="0.3">
      <c r="E123" s="8" t="s">
        <v>42</v>
      </c>
      <c r="F123" s="90">
        <v>1879569.12</v>
      </c>
      <c r="G123" s="90">
        <v>1861301.36</v>
      </c>
      <c r="H123" s="90">
        <v>1716242.66</v>
      </c>
      <c r="I123" s="90">
        <v>1729058.77</v>
      </c>
      <c r="J123" s="90">
        <v>1667900.54</v>
      </c>
      <c r="K123" s="90">
        <v>1594093.45</v>
      </c>
    </row>
    <row r="124" spans="5:13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3" ht="15" customHeight="1" x14ac:dyDescent="0.3">
      <c r="E125" s="8" t="s">
        <v>44</v>
      </c>
      <c r="F125" s="90"/>
      <c r="G125" s="90"/>
      <c r="H125" s="90"/>
      <c r="I125" s="90"/>
      <c r="J125" s="90"/>
      <c r="K125" s="90"/>
    </row>
    <row r="126" spans="5:13" x14ac:dyDescent="0.3">
      <c r="E126" s="8" t="s">
        <v>45</v>
      </c>
      <c r="F126" s="90">
        <v>39577.47</v>
      </c>
      <c r="G126" s="90">
        <v>18267.759999999998</v>
      </c>
      <c r="H126" s="90">
        <v>145058.70000000001</v>
      </c>
      <c r="I126" s="90">
        <v>-12816.11</v>
      </c>
      <c r="J126" s="90">
        <v>61158.23</v>
      </c>
      <c r="K126" s="90">
        <v>73807.09</v>
      </c>
    </row>
    <row r="127" spans="5:13" ht="15" customHeight="1" x14ac:dyDescent="0.3">
      <c r="E127" s="18" t="s">
        <v>91</v>
      </c>
      <c r="F127" s="90">
        <v>2833700.94</v>
      </c>
      <c r="G127" s="90">
        <v>2905742.48</v>
      </c>
      <c r="H127" s="90">
        <v>3065232.22</v>
      </c>
      <c r="I127" s="90">
        <v>3313340.45</v>
      </c>
      <c r="J127" s="90">
        <v>3762529</v>
      </c>
      <c r="K127" s="90">
        <v>3896926.79</v>
      </c>
      <c r="M127" s="5"/>
    </row>
    <row r="128" spans="5:13" ht="15" customHeight="1" x14ac:dyDescent="0.3">
      <c r="E128" s="8" t="s">
        <v>46</v>
      </c>
      <c r="F128" s="90"/>
      <c r="G128" s="90"/>
      <c r="H128" s="90"/>
      <c r="I128" s="90"/>
      <c r="J128" s="90"/>
      <c r="K128" s="90"/>
    </row>
    <row r="129" spans="5:11" ht="15" customHeight="1" x14ac:dyDescent="0.3">
      <c r="E129" s="17" t="s">
        <v>89</v>
      </c>
      <c r="F129" s="90"/>
      <c r="G129" s="90"/>
      <c r="H129" s="90"/>
      <c r="I129" s="90"/>
      <c r="J129" s="90"/>
      <c r="K129" s="90"/>
    </row>
    <row r="130" spans="5:11" ht="15" customHeight="1" x14ac:dyDescent="0.3">
      <c r="E130" s="17" t="s">
        <v>90</v>
      </c>
      <c r="F130" s="90">
        <v>59197.18</v>
      </c>
      <c r="G130" s="90">
        <v>42315.18</v>
      </c>
      <c r="H130" s="90">
        <v>71688.259999999995</v>
      </c>
      <c r="I130" s="90">
        <v>74508.66</v>
      </c>
      <c r="J130" s="90">
        <v>115927.67</v>
      </c>
      <c r="K130" s="90">
        <v>113305.66</v>
      </c>
    </row>
    <row r="131" spans="5:11" ht="15" customHeight="1" x14ac:dyDescent="0.3">
      <c r="E131" s="17" t="s">
        <v>88</v>
      </c>
      <c r="F131" s="90">
        <v>2774503.76</v>
      </c>
      <c r="G131" s="90">
        <v>2863427.3</v>
      </c>
      <c r="H131" s="90">
        <v>2993543.96</v>
      </c>
      <c r="I131" s="90">
        <v>3238831.79</v>
      </c>
      <c r="J131" s="90">
        <v>3646601.33</v>
      </c>
      <c r="K131" s="90">
        <v>3703621.13</v>
      </c>
    </row>
    <row r="132" spans="5:11" x14ac:dyDescent="0.3">
      <c r="E132" s="7" t="s">
        <v>47</v>
      </c>
      <c r="F132" s="90">
        <v>4752847.53</v>
      </c>
      <c r="G132" s="90">
        <v>4785311.5999999996</v>
      </c>
      <c r="H132" s="90">
        <v>4926533.58</v>
      </c>
      <c r="I132" s="90">
        <v>5029583.1100000003</v>
      </c>
      <c r="J132" s="90">
        <v>5491587.7699999996</v>
      </c>
      <c r="K132" s="90">
        <v>5564827.3300000001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04214-676D-4EE4-88CB-959B3FE5F3BC}">
  <sheetPr>
    <tabColor theme="5" tint="0.79998168889431442"/>
  </sheetPr>
  <dimension ref="A1:L177"/>
  <sheetViews>
    <sheetView topLeftCell="A156" workbookViewId="0">
      <selection sqref="A1:L184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423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7.3818583720638831</v>
      </c>
      <c r="B4" s="139">
        <f>MAX(F4:K4)</f>
        <v>10.588696587053693</v>
      </c>
      <c r="C4" s="155">
        <f>AVERAGE(F4:K4)</f>
        <v>8.7457812510326871</v>
      </c>
      <c r="D4" s="156">
        <f>MEDIAN(F4:K4)</f>
        <v>8.1641894279119001</v>
      </c>
      <c r="E4" s="47" t="s">
        <v>364</v>
      </c>
      <c r="F4" s="71">
        <f>SUM(F9:F12)/SUM(F13:F15)</f>
        <v>7.3818583720638831</v>
      </c>
      <c r="G4" s="71">
        <f t="shared" ref="G4:K4" si="0">SUM(G9:G12)/SUM(G13:G15)</f>
        <v>10.588696587053693</v>
      </c>
      <c r="H4" s="71">
        <f t="shared" si="0"/>
        <v>10.327182668571037</v>
      </c>
      <c r="I4" s="71">
        <f t="shared" si="0"/>
        <v>8.2286817778211692</v>
      </c>
      <c r="J4" s="71">
        <f t="shared" si="0"/>
        <v>7.8485710226837062</v>
      </c>
      <c r="K4" s="71">
        <f t="shared" si="0"/>
        <v>8.0996970780026292</v>
      </c>
    </row>
    <row r="5" spans="1:11" s="43" customFormat="1" ht="13.2" x14ac:dyDescent="0.25">
      <c r="A5" s="139">
        <f t="shared" ref="A5:A7" si="1">MIN(F5:K5)</f>
        <v>42.961446493934723</v>
      </c>
      <c r="B5" s="139">
        <f t="shared" ref="B5:B7" si="2">MAX(F5:K5)</f>
        <v>57.69305718612955</v>
      </c>
      <c r="C5" s="155">
        <f t="shared" ref="C5:C7" si="3">AVERAGEIF(F5:K5,"&gt;0")</f>
        <v>52.882585489470905</v>
      </c>
      <c r="D5" s="156">
        <f t="shared" ref="D5:D7" si="4">_xlfn.AGGREGATE(12,6,F5:K5)</f>
        <v>54.510271866660283</v>
      </c>
      <c r="E5" s="47" t="s">
        <v>363</v>
      </c>
      <c r="F5" s="71">
        <f t="shared" ref="F5:K5" si="5">SUM(F9:F12)/F14</f>
        <v>50.266832396937176</v>
      </c>
      <c r="G5" s="71">
        <f t="shared" si="5"/>
        <v>52.089998682406119</v>
      </c>
      <c r="H5" s="71">
        <f t="shared" si="5"/>
        <v>56.930545050914446</v>
      </c>
      <c r="I5" s="71">
        <f t="shared" si="5"/>
        <v>42.961446493934723</v>
      </c>
      <c r="J5" s="71">
        <f t="shared" si="5"/>
        <v>57.69305718612955</v>
      </c>
      <c r="K5" s="71">
        <f t="shared" si="5"/>
        <v>57.353633126503453</v>
      </c>
    </row>
    <row r="6" spans="1:11" s="43" customFormat="1" ht="13.2" x14ac:dyDescent="0.25">
      <c r="A6" s="139">
        <f t="shared" si="1"/>
        <v>42.910124441776865</v>
      </c>
      <c r="B6" s="139">
        <f t="shared" si="2"/>
        <v>57.040385532562567</v>
      </c>
      <c r="C6" s="155">
        <f t="shared" si="3"/>
        <v>52.649880815834308</v>
      </c>
      <c r="D6" s="156">
        <f t="shared" si="4"/>
        <v>54.410547925546297</v>
      </c>
      <c r="E6" s="47" t="s">
        <v>365</v>
      </c>
      <c r="F6" s="71">
        <f t="shared" ref="F6:K6" si="6">SUM(F10:F11)/F14</f>
        <v>50.111362053735135</v>
      </c>
      <c r="G6" s="71">
        <f t="shared" si="6"/>
        <v>51.992170066724071</v>
      </c>
      <c r="H6" s="71">
        <f t="shared" si="6"/>
        <v>56.828925784368515</v>
      </c>
      <c r="I6" s="71">
        <f t="shared" si="6"/>
        <v>42.910124441776865</v>
      </c>
      <c r="J6" s="71">
        <f t="shared" si="6"/>
        <v>57.016317015838737</v>
      </c>
      <c r="K6" s="71">
        <f t="shared" si="6"/>
        <v>57.040385532562567</v>
      </c>
    </row>
    <row r="7" spans="1:11" s="43" customFormat="1" ht="13.8" thickBot="1" x14ac:dyDescent="0.3">
      <c r="A7" s="139">
        <f t="shared" si="1"/>
        <v>42.598571061004854</v>
      </c>
      <c r="B7" s="139">
        <f t="shared" si="2"/>
        <v>56.356312023337949</v>
      </c>
      <c r="C7" s="155">
        <f t="shared" si="3"/>
        <v>52.139311307114532</v>
      </c>
      <c r="D7" s="156">
        <f t="shared" si="4"/>
        <v>53.819855078597186</v>
      </c>
      <c r="E7" s="49" t="s">
        <v>366</v>
      </c>
      <c r="F7" s="73">
        <f t="shared" ref="F7:K7" si="7">F11/F14</f>
        <v>49.926186206422322</v>
      </c>
      <c r="G7" s="73">
        <f t="shared" si="7"/>
        <v>51.576313646625998</v>
      </c>
      <c r="H7" s="73">
        <f t="shared" si="7"/>
        <v>56.063396510568374</v>
      </c>
      <c r="I7" s="73">
        <f t="shared" si="7"/>
        <v>42.598571061004854</v>
      </c>
      <c r="J7" s="73">
        <f t="shared" si="7"/>
        <v>56.356312023337949</v>
      </c>
      <c r="K7" s="73">
        <f t="shared" si="7"/>
        <v>56.315088394727709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35464.699999999997</v>
      </c>
      <c r="G9" s="76">
        <f t="shared" ref="G9:K12" si="8">G115</f>
        <v>28976.91</v>
      </c>
      <c r="H9" s="76">
        <f t="shared" si="8"/>
        <v>19968.12</v>
      </c>
      <c r="I9" s="76">
        <f t="shared" si="8"/>
        <v>9099.9500000000007</v>
      </c>
      <c r="J9" s="76">
        <f t="shared" si="8"/>
        <v>104904.26</v>
      </c>
      <c r="K9" s="76">
        <f t="shared" si="8"/>
        <v>27371.26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63472.69</v>
      </c>
      <c r="G10" s="76">
        <f t="shared" si="8"/>
        <v>127951.56</v>
      </c>
      <c r="H10" s="76">
        <f t="shared" si="8"/>
        <v>207026.69</v>
      </c>
      <c r="I10" s="76">
        <f t="shared" si="8"/>
        <v>107719.22</v>
      </c>
      <c r="J10" s="76">
        <f t="shared" si="8"/>
        <v>160833.64000000001</v>
      </c>
      <c r="K10" s="76">
        <f t="shared" si="8"/>
        <v>148897.04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17113189.359999999</v>
      </c>
      <c r="G11" s="76">
        <f t="shared" si="8"/>
        <v>15869106.43</v>
      </c>
      <c r="H11" s="76">
        <f t="shared" si="8"/>
        <v>15161561.82</v>
      </c>
      <c r="I11" s="76">
        <f t="shared" si="8"/>
        <v>14728406.529999999</v>
      </c>
      <c r="J11" s="76">
        <f t="shared" si="8"/>
        <v>13733215.51</v>
      </c>
      <c r="K11" s="76">
        <f t="shared" si="8"/>
        <v>11560985.880000001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17825.84</v>
      </c>
      <c r="G12" s="76">
        <f t="shared" si="8"/>
        <v>1123.2</v>
      </c>
      <c r="H12" s="76">
        <f t="shared" si="8"/>
        <v>7513.39</v>
      </c>
      <c r="I12" s="76">
        <f t="shared" si="8"/>
        <v>8644.59</v>
      </c>
      <c r="J12" s="76">
        <f t="shared" si="8"/>
        <v>60007.5</v>
      </c>
      <c r="K12" s="76">
        <f t="shared" si="8"/>
        <v>36935.68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10684.1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342769.81</v>
      </c>
      <c r="G14" s="76">
        <f t="shared" ref="G14:K15" si="10">G130</f>
        <v>307682.06</v>
      </c>
      <c r="H14" s="76">
        <f t="shared" si="10"/>
        <v>270436.02</v>
      </c>
      <c r="I14" s="76">
        <f t="shared" si="10"/>
        <v>345748.84</v>
      </c>
      <c r="J14" s="76">
        <f t="shared" si="10"/>
        <v>243685.49</v>
      </c>
      <c r="K14" s="76">
        <f t="shared" si="10"/>
        <v>205291.09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1980640.26</v>
      </c>
      <c r="G15" s="76">
        <f t="shared" si="10"/>
        <v>1205928.04</v>
      </c>
      <c r="H15" s="76">
        <f t="shared" si="10"/>
        <v>1220393.6200000001</v>
      </c>
      <c r="I15" s="76">
        <f t="shared" si="10"/>
        <v>1459384.8</v>
      </c>
      <c r="J15" s="76">
        <f t="shared" si="10"/>
        <v>1547591.02</v>
      </c>
      <c r="K15" s="76">
        <f t="shared" si="10"/>
        <v>1248366.96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38.389695855208195</v>
      </c>
      <c r="B19" s="152">
        <f t="shared" ref="B19:B25" si="12">MAX(F19:K19)</f>
        <v>253.19428932595036</v>
      </c>
      <c r="C19" s="156">
        <f>AVERAGE(F19:K19)</f>
        <v>98.130129463529201</v>
      </c>
      <c r="D19" s="156">
        <f>MEDIAN(F19:K19)</f>
        <v>55.141526485993808</v>
      </c>
      <c r="E19" s="47" t="s">
        <v>293</v>
      </c>
      <c r="F19" s="71">
        <f>F28/(F27/365)</f>
        <v>68.29886359455503</v>
      </c>
      <c r="G19" s="71">
        <f t="shared" ref="G19:K19" si="13">G28/(G27/365)</f>
        <v>147.56365048905914</v>
      </c>
      <c r="H19" s="71">
        <f t="shared" si="13"/>
        <v>253.19428932595036</v>
      </c>
      <c r="I19" s="71">
        <f t="shared" si="13"/>
        <v>38.389695855208195</v>
      </c>
      <c r="J19" s="71">
        <f t="shared" si="13"/>
        <v>41.984189377432585</v>
      </c>
      <c r="K19" s="71">
        <f t="shared" si="13"/>
        <v>39.350088138969888</v>
      </c>
    </row>
    <row r="20" spans="1:11" s="43" customFormat="1" ht="13.2" x14ac:dyDescent="0.25">
      <c r="A20" s="152">
        <f t="shared" si="11"/>
        <v>3.2431010250315762</v>
      </c>
      <c r="B20" s="152">
        <f t="shared" si="12"/>
        <v>38.161273891524303</v>
      </c>
      <c r="C20" s="156">
        <f t="shared" ref="C20:C25" si="14">AVERAGE(F20:K20)</f>
        <v>22.310297881082139</v>
      </c>
      <c r="D20" s="156">
        <f t="shared" ref="D20:D25" si="15">MEDIAN(F20:K20)</f>
        <v>25.90269801500202</v>
      </c>
      <c r="E20" s="121" t="s">
        <v>367</v>
      </c>
      <c r="F20" s="71">
        <f>F29/(F27/365)</f>
        <v>38.161273891524303</v>
      </c>
      <c r="G20" s="71">
        <f t="shared" ref="G20:K20" si="16">G29/(G27/365)</f>
        <v>33.418417247065399</v>
      </c>
      <c r="H20" s="71">
        <f t="shared" si="16"/>
        <v>24.421073208364081</v>
      </c>
      <c r="I20" s="71">
        <f t="shared" si="16"/>
        <v>3.2431010250315762</v>
      </c>
      <c r="J20" s="71">
        <f t="shared" si="16"/>
        <v>27.384322821639959</v>
      </c>
      <c r="K20" s="71">
        <f t="shared" si="16"/>
        <v>7.2335990928675331</v>
      </c>
    </row>
    <row r="21" spans="1:11" s="43" customFormat="1" ht="13.2" x14ac:dyDescent="0.25">
      <c r="A21" s="152">
        <f t="shared" si="11"/>
        <v>54.253747996905773</v>
      </c>
      <c r="B21" s="152">
        <f t="shared" si="12"/>
        <v>368.83246160705562</v>
      </c>
      <c r="C21" s="156">
        <f t="shared" si="14"/>
        <v>215.91755061059959</v>
      </c>
      <c r="D21" s="156">
        <f t="shared" si="15"/>
        <v>226.98219078276765</v>
      </c>
      <c r="E21" s="47" t="s">
        <v>368</v>
      </c>
      <c r="F21" s="71">
        <f>F30/(F27/365)</f>
        <v>368.83246160705562</v>
      </c>
      <c r="G21" s="71">
        <f t="shared" ref="G21:K21" si="17">G30/(G27/365)</f>
        <v>354.84278553222583</v>
      </c>
      <c r="H21" s="71">
        <f t="shared" si="17"/>
        <v>330.74409822249731</v>
      </c>
      <c r="I21" s="71">
        <f t="shared" si="17"/>
        <v>123.22028334303798</v>
      </c>
      <c r="J21" s="71">
        <f t="shared" si="17"/>
        <v>63.611926961874723</v>
      </c>
      <c r="K21" s="71">
        <f t="shared" si="17"/>
        <v>54.253747996905773</v>
      </c>
    </row>
    <row r="22" spans="1:11" s="43" customFormat="1" ht="13.2" x14ac:dyDescent="0.25">
      <c r="A22" s="152">
        <f t="shared" si="11"/>
        <v>-262.37232412097626</v>
      </c>
      <c r="B22" s="152">
        <f t="shared" si="12"/>
        <v>5.7565852371978181</v>
      </c>
      <c r="C22" s="156">
        <f t="shared" si="14"/>
        <v>-95.477123265988212</v>
      </c>
      <c r="D22" s="156">
        <f t="shared" si="15"/>
        <v>-67.358111075490541</v>
      </c>
      <c r="E22" s="47" t="s">
        <v>294</v>
      </c>
      <c r="F22" s="71">
        <f>F19+F20-F21</f>
        <v>-262.37232412097626</v>
      </c>
      <c r="G22" s="71">
        <f t="shared" ref="G22:K22" si="18">G19+G20-G21</f>
        <v>-173.86071779610128</v>
      </c>
      <c r="H22" s="71">
        <f t="shared" si="18"/>
        <v>-53.128735688182871</v>
      </c>
      <c r="I22" s="71">
        <f t="shared" si="18"/>
        <v>-81.587486462798211</v>
      </c>
      <c r="J22" s="71">
        <f t="shared" si="18"/>
        <v>5.7565852371978181</v>
      </c>
      <c r="K22" s="71">
        <f t="shared" si="18"/>
        <v>-7.6700607650683494</v>
      </c>
    </row>
    <row r="23" spans="1:11" s="43" customFormat="1" ht="13.2" x14ac:dyDescent="0.25">
      <c r="A23" s="152">
        <f t="shared" si="11"/>
        <v>6.5844000907166744E-3</v>
      </c>
      <c r="B23" s="152">
        <f t="shared" si="12"/>
        <v>3.1029121992577974E-2</v>
      </c>
      <c r="C23" s="156">
        <f t="shared" si="14"/>
        <v>1.7457955276896493E-2</v>
      </c>
      <c r="D23" s="156">
        <f t="shared" si="15"/>
        <v>1.4806398738300384E-2</v>
      </c>
      <c r="E23" s="47" t="s">
        <v>295</v>
      </c>
      <c r="F23" s="71">
        <f>F27/F31</f>
        <v>7.1932926336405485E-3</v>
      </c>
      <c r="G23" s="71">
        <f t="shared" ref="G23:K23" si="19">G27/G31</f>
        <v>6.9706659505229E-3</v>
      </c>
      <c r="H23" s="71">
        <f t="shared" si="19"/>
        <v>6.5844000907166744E-3</v>
      </c>
      <c r="I23" s="71">
        <f t="shared" si="19"/>
        <v>2.2419504842960222E-2</v>
      </c>
      <c r="J23" s="71">
        <f t="shared" si="19"/>
        <v>3.055074615096065E-2</v>
      </c>
      <c r="K23" s="71">
        <f t="shared" si="19"/>
        <v>3.1029121992577974E-2</v>
      </c>
    </row>
    <row r="24" spans="1:11" s="43" customFormat="1" ht="13.2" x14ac:dyDescent="0.25">
      <c r="A24" s="152">
        <f t="shared" si="11"/>
        <v>9.9714206227956622E-3</v>
      </c>
      <c r="B24" s="152">
        <f t="shared" si="12"/>
        <v>4.4096139972378288E-2</v>
      </c>
      <c r="C24" s="156">
        <f t="shared" si="14"/>
        <v>2.5264543242349863E-2</v>
      </c>
      <c r="D24" s="156">
        <f t="shared" si="15"/>
        <v>2.2278332341696148E-2</v>
      </c>
      <c r="E24" s="121" t="s">
        <v>369</v>
      </c>
      <c r="F24" s="71">
        <f>F27/F32</f>
        <v>1.1334814171131075E-2</v>
      </c>
      <c r="G24" s="71">
        <f t="shared" ref="G24:K24" si="20">G27/G32</f>
        <v>1.0773786582156226E-2</v>
      </c>
      <c r="H24" s="71">
        <f t="shared" si="20"/>
        <v>9.9714206227956622E-3</v>
      </c>
      <c r="I24" s="71">
        <f t="shared" si="20"/>
        <v>3.3221850512261224E-2</v>
      </c>
      <c r="J24" s="71">
        <f t="shared" si="20"/>
        <v>4.4096139972378288E-2</v>
      </c>
      <c r="K24" s="71">
        <f t="shared" si="20"/>
        <v>4.2189247593376694E-2</v>
      </c>
    </row>
    <row r="25" spans="1:11" s="43" customFormat="1" ht="13.8" thickBot="1" x14ac:dyDescent="0.3">
      <c r="A25" s="152">
        <f t="shared" si="11"/>
        <v>1.9384536418209926E-2</v>
      </c>
      <c r="B25" s="152">
        <f t="shared" si="12"/>
        <v>0.11730112699235852</v>
      </c>
      <c r="C25" s="156">
        <f t="shared" si="14"/>
        <v>5.7420899753188918E-2</v>
      </c>
      <c r="D25" s="156">
        <f t="shared" si="15"/>
        <v>4.4348333281654481E-2</v>
      </c>
      <c r="E25" s="49" t="s">
        <v>296</v>
      </c>
      <c r="F25" s="73">
        <f>F27/F33</f>
        <v>1.9687120915055287E-2</v>
      </c>
      <c r="G25" s="73">
        <f t="shared" ref="G25:K25" si="21">G27/G33</f>
        <v>1.9747064203478472E-2</v>
      </c>
      <c r="H25" s="73">
        <f t="shared" si="21"/>
        <v>1.9384536418209926E-2</v>
      </c>
      <c r="I25" s="73">
        <f t="shared" si="21"/>
        <v>6.8949602359830497E-2</v>
      </c>
      <c r="J25" s="73">
        <f t="shared" si="21"/>
        <v>9.9455947630200783E-2</v>
      </c>
      <c r="K25" s="73">
        <f t="shared" si="21"/>
        <v>0.11730112699235852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339208.16000000003</v>
      </c>
      <c r="G27" s="76">
        <f t="shared" ref="G27:K27" si="22">G93+G86</f>
        <v>316489.32</v>
      </c>
      <c r="H27" s="76">
        <f t="shared" si="22"/>
        <v>298445.68</v>
      </c>
      <c r="I27" s="76">
        <f t="shared" si="22"/>
        <v>1024168.45</v>
      </c>
      <c r="J27" s="76">
        <f t="shared" si="22"/>
        <v>1398247.28</v>
      </c>
      <c r="K27" s="76">
        <f t="shared" si="22"/>
        <v>1381125.74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63472.69</v>
      </c>
      <c r="G28" s="76">
        <f t="shared" ref="G28:K28" si="23">G116</f>
        <v>127951.56</v>
      </c>
      <c r="H28" s="76">
        <f t="shared" si="23"/>
        <v>207026.69</v>
      </c>
      <c r="I28" s="76">
        <f t="shared" si="23"/>
        <v>107719.22</v>
      </c>
      <c r="J28" s="76">
        <f t="shared" si="23"/>
        <v>160833.64000000001</v>
      </c>
      <c r="K28" s="76">
        <f t="shared" si="23"/>
        <v>148897.04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35464.699999999997</v>
      </c>
      <c r="G29" s="76">
        <f t="shared" ref="G29:K29" si="24">G115</f>
        <v>28976.91</v>
      </c>
      <c r="H29" s="76">
        <f t="shared" si="24"/>
        <v>19968.12</v>
      </c>
      <c r="I29" s="76">
        <f t="shared" si="24"/>
        <v>9099.9500000000007</v>
      </c>
      <c r="J29" s="76">
        <f t="shared" si="24"/>
        <v>104904.26</v>
      </c>
      <c r="K29" s="76">
        <f t="shared" si="24"/>
        <v>27371.26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342769.81</v>
      </c>
      <c r="G30" s="76">
        <f t="shared" ref="G30:K30" si="25">G130</f>
        <v>307682.06</v>
      </c>
      <c r="H30" s="76">
        <f t="shared" si="25"/>
        <v>270436.02</v>
      </c>
      <c r="I30" s="76">
        <f t="shared" si="25"/>
        <v>345748.84</v>
      </c>
      <c r="J30" s="76">
        <f t="shared" si="25"/>
        <v>243685.49</v>
      </c>
      <c r="K30" s="76">
        <f t="shared" si="25"/>
        <v>205291.09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47156174.130000003</v>
      </c>
      <c r="G31" s="76">
        <f t="shared" ref="G31:K31" si="26">G120</f>
        <v>45403024.939999998</v>
      </c>
      <c r="H31" s="76">
        <f t="shared" si="26"/>
        <v>45326176.399999999</v>
      </c>
      <c r="I31" s="76">
        <f t="shared" si="26"/>
        <v>45682028.090000004</v>
      </c>
      <c r="J31" s="76">
        <f t="shared" si="26"/>
        <v>45768023.899999999</v>
      </c>
      <c r="K31" s="76">
        <f t="shared" si="26"/>
        <v>44510629.090000004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29926221.539999999</v>
      </c>
      <c r="G32" s="76">
        <f t="shared" ref="G32:K32" si="27">G108</f>
        <v>29375866.84</v>
      </c>
      <c r="H32" s="76">
        <f t="shared" si="27"/>
        <v>29930106.379999999</v>
      </c>
      <c r="I32" s="76">
        <f t="shared" si="27"/>
        <v>30828157.800000001</v>
      </c>
      <c r="J32" s="76">
        <f t="shared" si="27"/>
        <v>31709062.989999998</v>
      </c>
      <c r="K32" s="76">
        <f t="shared" si="27"/>
        <v>32736439.23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17229952.59</v>
      </c>
      <c r="G33" s="76">
        <f t="shared" ref="G33:K33" si="28">G114</f>
        <v>16027158.1</v>
      </c>
      <c r="H33" s="76">
        <f t="shared" si="28"/>
        <v>15396070.02</v>
      </c>
      <c r="I33" s="76">
        <f t="shared" si="28"/>
        <v>14853870.289999999</v>
      </c>
      <c r="J33" s="76">
        <f t="shared" si="28"/>
        <v>14058960.91</v>
      </c>
      <c r="K33" s="76">
        <f t="shared" si="28"/>
        <v>11774189.859999999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4.6121812743851283E-3</v>
      </c>
      <c r="B37" s="139">
        <f t="shared" ref="B37:B41" si="30">MAX(F37:K37)</f>
        <v>8.6409658441898712E-3</v>
      </c>
      <c r="C37" s="160">
        <f t="shared" ref="C37:C41" si="31">AVERAGE(F37:K37)</f>
        <v>6.9754904439634675E-3</v>
      </c>
      <c r="D37" s="160">
        <f t="shared" ref="D37:D41" si="32">MEDIAN(F37:K37)</f>
        <v>7.5183249091390859E-3</v>
      </c>
      <c r="E37" s="47" t="s">
        <v>370</v>
      </c>
      <c r="F37" s="119">
        <f>F43/F44*100%</f>
        <v>8.6409658441898712E-3</v>
      </c>
      <c r="G37" s="119">
        <f t="shared" ref="G37:K37" si="33">G43/G44*100%</f>
        <v>8.2387845412134342E-3</v>
      </c>
      <c r="H37" s="119">
        <f t="shared" si="33"/>
        <v>7.4680532726338691E-3</v>
      </c>
      <c r="I37" s="119">
        <f t="shared" si="33"/>
        <v>7.5685965456443027E-3</v>
      </c>
      <c r="J37" s="119">
        <f t="shared" si="33"/>
        <v>5.3243611857142032E-3</v>
      </c>
      <c r="K37" s="119">
        <f t="shared" si="33"/>
        <v>4.6121812743851283E-3</v>
      </c>
    </row>
    <row r="38" spans="1:11" s="43" customFormat="1" ht="13.2" x14ac:dyDescent="0.25">
      <c r="A38" s="139">
        <f t="shared" si="29"/>
        <v>4.7678943743925742E-3</v>
      </c>
      <c r="B38" s="139">
        <f t="shared" si="30"/>
        <v>9.1040837647983156E-3</v>
      </c>
      <c r="C38" s="155">
        <f t="shared" si="31"/>
        <v>7.2605103530439981E-3</v>
      </c>
      <c r="D38" s="156">
        <f t="shared" si="32"/>
        <v>7.8070118385720859E-3</v>
      </c>
      <c r="E38" s="50" t="s">
        <v>298</v>
      </c>
      <c r="F38" s="122">
        <f>F43/F45</f>
        <v>9.1040837647983156E-3</v>
      </c>
      <c r="G38" s="122">
        <f t="shared" ref="G38:K38" si="34">G43/G45</f>
        <v>8.5358253433968998E-3</v>
      </c>
      <c r="H38" s="122">
        <f t="shared" si="34"/>
        <v>7.7340484798567076E-3</v>
      </c>
      <c r="I38" s="122">
        <f t="shared" si="34"/>
        <v>7.879975197287465E-3</v>
      </c>
      <c r="J38" s="122">
        <f t="shared" si="34"/>
        <v>5.5412349585320254E-3</v>
      </c>
      <c r="K38" s="122">
        <f t="shared" si="34"/>
        <v>4.7678943743925742E-3</v>
      </c>
    </row>
    <row r="39" spans="1:11" s="43" customFormat="1" ht="13.2" x14ac:dyDescent="0.25">
      <c r="A39" s="139">
        <f t="shared" si="29"/>
        <v>1.0337612705884387</v>
      </c>
      <c r="B39" s="139">
        <f t="shared" si="30"/>
        <v>1.0535956198600001</v>
      </c>
      <c r="C39" s="155">
        <f t="shared" si="31"/>
        <v>1.0401503032648047</v>
      </c>
      <c r="D39" s="156">
        <f t="shared" si="32"/>
        <v>1.0383931573968743</v>
      </c>
      <c r="E39" s="50" t="s">
        <v>299</v>
      </c>
      <c r="F39" s="122">
        <f>F44/F45</f>
        <v>1.0535956198600001</v>
      </c>
      <c r="G39" s="122">
        <f t="shared" ref="G39:K39" si="35">G44/G45</f>
        <v>1.0360539592578928</v>
      </c>
      <c r="H39" s="122">
        <f t="shared" si="35"/>
        <v>1.0356177436759266</v>
      </c>
      <c r="I39" s="122">
        <f t="shared" si="35"/>
        <v>1.0411408706707135</v>
      </c>
      <c r="J39" s="122">
        <f t="shared" si="35"/>
        <v>1.0407323555358559</v>
      </c>
      <c r="K39" s="122">
        <f t="shared" si="35"/>
        <v>1.0337612705884387</v>
      </c>
    </row>
    <row r="40" spans="1:11" s="43" customFormat="1" ht="13.2" x14ac:dyDescent="0.25">
      <c r="A40" s="139">
        <f t="shared" si="29"/>
        <v>0</v>
      </c>
      <c r="B40" s="139">
        <f t="shared" si="30"/>
        <v>1.5016108881401257E-3</v>
      </c>
      <c r="C40" s="160">
        <f t="shared" si="31"/>
        <v>7.2264224329663101E-4</v>
      </c>
      <c r="D40" s="160">
        <f t="shared" si="32"/>
        <v>6.860721972654231E-4</v>
      </c>
      <c r="E40" s="77" t="s">
        <v>371</v>
      </c>
      <c r="F40" s="119">
        <f>F46/F44*100%</f>
        <v>1.3721443945308462E-3</v>
      </c>
      <c r="G40" s="119">
        <f t="shared" ref="G40:K40" si="36">G46/G44*100%</f>
        <v>1.4620981771088135E-3</v>
      </c>
      <c r="H40" s="119">
        <f t="shared" si="36"/>
        <v>1.5016108881401257E-3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-261.26281375742479</v>
      </c>
      <c r="B41" s="139">
        <f t="shared" si="30"/>
        <v>3948.0320545829045</v>
      </c>
      <c r="C41" s="155">
        <f t="shared" si="31"/>
        <v>1016.1115031335911</v>
      </c>
      <c r="D41" s="156">
        <f t="shared" si="32"/>
        <v>607.11835561553232</v>
      </c>
      <c r="E41" s="51" t="s">
        <v>300</v>
      </c>
      <c r="F41" s="123">
        <f>(F47+F48)/F48</f>
        <v>17.708793637713629</v>
      </c>
      <c r="G41" s="123">
        <f t="shared" ref="G41:K41" si="37">(G47+G48)/G48</f>
        <v>1293.1130938586327</v>
      </c>
      <c r="H41" s="123">
        <f t="shared" si="37"/>
        <v>-261.26281375742479</v>
      </c>
      <c r="I41" s="123">
        <f t="shared" si="37"/>
        <v>-97.450027113630767</v>
      </c>
      <c r="J41" s="123">
        <f t="shared" si="37"/>
        <v>3948.0320545829045</v>
      </c>
      <c r="K41" s="123">
        <f t="shared" si="37"/>
        <v>1196.527917593351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407474.89</v>
      </c>
      <c r="G43" s="76">
        <f t="shared" ref="G43:K43" si="38">G129+G130</f>
        <v>374065.74</v>
      </c>
      <c r="H43" s="76">
        <f t="shared" si="38"/>
        <v>338498.30000000005</v>
      </c>
      <c r="I43" s="76">
        <f t="shared" si="38"/>
        <v>345748.84</v>
      </c>
      <c r="J43" s="76">
        <f t="shared" si="38"/>
        <v>243685.49</v>
      </c>
      <c r="K43" s="76">
        <f t="shared" si="38"/>
        <v>205291.09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47156174.130000003</v>
      </c>
      <c r="G44" s="76">
        <f t="shared" ref="G44:K44" si="39">G120</f>
        <v>45403024.939999998</v>
      </c>
      <c r="H44" s="76">
        <f t="shared" si="39"/>
        <v>45326176.399999999</v>
      </c>
      <c r="I44" s="76">
        <f t="shared" si="39"/>
        <v>45682028.090000004</v>
      </c>
      <c r="J44" s="76">
        <f t="shared" si="39"/>
        <v>45768023.899999999</v>
      </c>
      <c r="K44" s="76">
        <f t="shared" si="39"/>
        <v>44510629.090000004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44757374.880000003</v>
      </c>
      <c r="G45" s="76">
        <f t="shared" ref="G45:K45" si="40">G122</f>
        <v>43823031.159999996</v>
      </c>
      <c r="H45" s="76">
        <f t="shared" si="40"/>
        <v>43767284.479999997</v>
      </c>
      <c r="I45" s="76">
        <f t="shared" si="40"/>
        <v>43876894.450000003</v>
      </c>
      <c r="J45" s="76">
        <f t="shared" si="40"/>
        <v>43976747.390000001</v>
      </c>
      <c r="K45" s="76">
        <f t="shared" si="40"/>
        <v>43056971.039999999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64705.08</v>
      </c>
      <c r="G46" s="76">
        <f t="shared" ref="G46:K46" si="41">G129</f>
        <v>66383.679999999993</v>
      </c>
      <c r="H46" s="76">
        <f t="shared" si="41"/>
        <v>68062.28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934347.72</v>
      </c>
      <c r="G47" s="76">
        <f t="shared" ref="G47:K47" si="42">G102</f>
        <v>55754.68</v>
      </c>
      <c r="H47" s="76">
        <f t="shared" si="42"/>
        <v>-109499.97</v>
      </c>
      <c r="I47" s="76">
        <f t="shared" si="42"/>
        <v>-99852.94</v>
      </c>
      <c r="J47" s="76">
        <f t="shared" si="42"/>
        <v>919816.35</v>
      </c>
      <c r="K47" s="76">
        <f t="shared" si="42"/>
        <v>306401.84999999998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55919.519999999997</v>
      </c>
      <c r="G48" s="76">
        <f t="shared" ref="G48:K48" si="43">G101</f>
        <v>43.15</v>
      </c>
      <c r="H48" s="76">
        <f t="shared" si="43"/>
        <v>417.52</v>
      </c>
      <c r="I48" s="76">
        <f t="shared" si="43"/>
        <v>1014.25</v>
      </c>
      <c r="J48" s="76">
        <f t="shared" si="43"/>
        <v>233.04</v>
      </c>
      <c r="K48" s="76">
        <f t="shared" si="43"/>
        <v>256.29000000000002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-0.78683201173471429</v>
      </c>
      <c r="B52" s="139">
        <f t="shared" ref="B52:B63" si="45">MAX(F52:K52)</f>
        <v>1.8933952246609211</v>
      </c>
      <c r="C52" s="160">
        <f t="shared" ref="C52:C63" si="46">AVERAGE(F52:K52)</f>
        <v>0.31610536387041249</v>
      </c>
      <c r="D52" s="160">
        <f t="shared" ref="D52:D63" si="47">MEDIAN(F52:K52)</f>
        <v>-0.14804840487989213</v>
      </c>
      <c r="E52" s="50" t="s">
        <v>350</v>
      </c>
      <c r="F52" s="119">
        <f t="shared" ref="F52:K52" si="48">(F65/(F70+F71))*100%</f>
        <v>1.60131585613955</v>
      </c>
      <c r="G52" s="119">
        <f t="shared" si="48"/>
        <v>-0.51515007608349739</v>
      </c>
      <c r="H52" s="119">
        <f t="shared" si="48"/>
        <v>-0.43150533166740296</v>
      </c>
      <c r="I52" s="119">
        <f t="shared" si="48"/>
        <v>-0.78683201173471429</v>
      </c>
      <c r="J52" s="119">
        <f t="shared" si="48"/>
        <v>1.8933952246609211</v>
      </c>
      <c r="K52" s="120">
        <f t="shared" si="48"/>
        <v>0.13540852190761868</v>
      </c>
    </row>
    <row r="53" spans="1:11" s="43" customFormat="1" ht="13.2" x14ac:dyDescent="0.25">
      <c r="A53" s="139">
        <f t="shared" si="44"/>
        <v>0.56916695159536201</v>
      </c>
      <c r="B53" s="139">
        <f t="shared" si="45"/>
        <v>0.92698483625625061</v>
      </c>
      <c r="C53" s="160">
        <f t="shared" si="46"/>
        <v>0.77926392715160464</v>
      </c>
      <c r="D53" s="160">
        <f t="shared" si="47"/>
        <v>0.84097842066157658</v>
      </c>
      <c r="E53" s="50" t="s">
        <v>351</v>
      </c>
      <c r="F53" s="119">
        <f>(F66/F70)*100%</f>
        <v>0.56916695159536201</v>
      </c>
      <c r="G53" s="119">
        <f t="shared" ref="G53:K53" si="49">(G66/G70)*100%</f>
        <v>0.58760266067330613</v>
      </c>
      <c r="H53" s="119">
        <f t="shared" si="49"/>
        <v>0.77552638728577983</v>
      </c>
      <c r="I53" s="119">
        <f t="shared" si="49"/>
        <v>0.92698483625625061</v>
      </c>
      <c r="J53" s="119">
        <f t="shared" si="49"/>
        <v>0.90987227306155583</v>
      </c>
      <c r="K53" s="120">
        <f t="shared" si="49"/>
        <v>0.90643045403737332</v>
      </c>
    </row>
    <row r="54" spans="1:11" s="43" customFormat="1" ht="13.2" x14ac:dyDescent="0.25">
      <c r="A54" s="139">
        <f t="shared" si="44"/>
        <v>0.16222611431512837</v>
      </c>
      <c r="B54" s="139">
        <f t="shared" si="45"/>
        <v>0.21745425839876364</v>
      </c>
      <c r="C54" s="160">
        <f t="shared" si="46"/>
        <v>0.18915444573788576</v>
      </c>
      <c r="D54" s="160">
        <f t="shared" si="47"/>
        <v>0.18790256577583181</v>
      </c>
      <c r="E54" s="50" t="s">
        <v>342</v>
      </c>
      <c r="F54" s="119">
        <f>(F67/SUM(F72:F74))*100%</f>
        <v>0.21745425839876364</v>
      </c>
      <c r="G54" s="119">
        <f t="shared" ref="G54:K54" si="50">(G67/SUM(G72:G74))*100%</f>
        <v>0.17670269450785439</v>
      </c>
      <c r="H54" s="119">
        <f t="shared" si="50"/>
        <v>0.16222611431512837</v>
      </c>
      <c r="I54" s="119">
        <f t="shared" si="50"/>
        <v>0.16713603530416596</v>
      </c>
      <c r="J54" s="119">
        <f t="shared" si="50"/>
        <v>0.21230513485759295</v>
      </c>
      <c r="K54" s="120">
        <f t="shared" si="50"/>
        <v>0.19910243704380926</v>
      </c>
    </row>
    <row r="55" spans="1:11" s="43" customFormat="1" ht="13.2" x14ac:dyDescent="0.25">
      <c r="A55" s="139">
        <f t="shared" si="44"/>
        <v>0.20374170777819556</v>
      </c>
      <c r="B55" s="139">
        <f t="shared" si="45"/>
        <v>0.52709703910322914</v>
      </c>
      <c r="C55" s="160">
        <f t="shared" si="46"/>
        <v>0.33361954219976436</v>
      </c>
      <c r="D55" s="160">
        <f t="shared" si="47"/>
        <v>0.26468400710733042</v>
      </c>
      <c r="E55" s="50" t="s">
        <v>343</v>
      </c>
      <c r="F55" s="119">
        <f>((F72-F76)/F76)*100%</f>
        <v>0.29180014841093649</v>
      </c>
      <c r="G55" s="119">
        <f t="shared" ref="G55:K56" si="51">((G72-G76)/G76)*100%</f>
        <v>0.22094846806386492</v>
      </c>
      <c r="H55" s="119">
        <f t="shared" si="51"/>
        <v>0.20374170777819556</v>
      </c>
      <c r="I55" s="119">
        <f t="shared" si="51"/>
        <v>0.23756786580372438</v>
      </c>
      <c r="J55" s="119">
        <f t="shared" si="51"/>
        <v>0.52056202403863605</v>
      </c>
      <c r="K55" s="120">
        <f t="shared" si="51"/>
        <v>0.52709703910322914</v>
      </c>
    </row>
    <row r="56" spans="1:11" s="43" customFormat="1" ht="13.2" x14ac:dyDescent="0.25">
      <c r="A56" s="139">
        <f t="shared" si="44"/>
        <v>-0.49200590245789838</v>
      </c>
      <c r="B56" s="139">
        <f t="shared" si="45"/>
        <v>-5.4777628449800352E-2</v>
      </c>
      <c r="C56" s="160">
        <f t="shared" si="46"/>
        <v>-0.3028288155534638</v>
      </c>
      <c r="D56" s="160">
        <f t="shared" si="47"/>
        <v>-0.32779576750534345</v>
      </c>
      <c r="E56" s="50" t="s">
        <v>344</v>
      </c>
      <c r="F56" s="119">
        <f>((F73-F77)/F77)*100%</f>
        <v>-0.34817271493040874</v>
      </c>
      <c r="G56" s="119">
        <f t="shared" si="51"/>
        <v>-0.12649974406032685</v>
      </c>
      <c r="H56" s="119">
        <f t="shared" si="51"/>
        <v>-0.30741882008027815</v>
      </c>
      <c r="I56" s="119">
        <f t="shared" si="51"/>
        <v>-5.4777628449800352E-2</v>
      </c>
      <c r="J56" s="119">
        <f t="shared" si="51"/>
        <v>-0.4880980833420705</v>
      </c>
      <c r="K56" s="120">
        <f t="shared" si="51"/>
        <v>-0.49200590245789838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-1.0849778059302305E-2</v>
      </c>
      <c r="B58" s="139">
        <f t="shared" si="45"/>
        <v>7.5678710139524277E-2</v>
      </c>
      <c r="C58" s="155">
        <f t="shared" si="46"/>
        <v>2.6017598994665648E-2</v>
      </c>
      <c r="D58" s="156">
        <f t="shared" si="47"/>
        <v>1.6800021751270884E-2</v>
      </c>
      <c r="E58" s="50" t="s">
        <v>356</v>
      </c>
      <c r="F58" s="71">
        <f>F68/(F70+F71+F72+F73+F74+F75)</f>
        <v>6.7565422687842672E-2</v>
      </c>
      <c r="G58" s="71">
        <f t="shared" ref="G58:K58" si="52">G68/(G70+G71+G72+G73+G74)</f>
        <v>5.0621365506619657E-3</v>
      </c>
      <c r="H58" s="71">
        <f t="shared" si="52"/>
        <v>-9.8888043026125264E-3</v>
      </c>
      <c r="I58" s="71">
        <f t="shared" si="52"/>
        <v>-1.0849778059302305E-2</v>
      </c>
      <c r="J58" s="71">
        <f t="shared" si="52"/>
        <v>7.5678710139524277E-2</v>
      </c>
      <c r="K58" s="72">
        <f t="shared" si="52"/>
        <v>2.8537906951879802E-2</v>
      </c>
    </row>
    <row r="59" spans="1:11" s="43" customFormat="1" ht="13.2" x14ac:dyDescent="0.25">
      <c r="A59" s="139">
        <f t="shared" si="44"/>
        <v>-1.0809797254467688E-2</v>
      </c>
      <c r="B59" s="139">
        <f t="shared" si="45"/>
        <v>7.5048782330469618E-2</v>
      </c>
      <c r="C59" s="155">
        <f t="shared" si="46"/>
        <v>2.586752486852947E-2</v>
      </c>
      <c r="D59" s="156">
        <f t="shared" si="47"/>
        <v>1.6640019703132225E-2</v>
      </c>
      <c r="E59" s="50" t="s">
        <v>361</v>
      </c>
      <c r="F59" s="71">
        <f>F69/(F70+F71+F72+F73+F74+F75)</f>
        <v>6.7565133436116614E-2</v>
      </c>
      <c r="G59" s="71">
        <f t="shared" ref="G59:K59" si="53">G69/(G70+G71+G72+G73+G74+G75)</f>
        <v>5.0163678714380978E-3</v>
      </c>
      <c r="H59" s="71">
        <f t="shared" si="53"/>
        <v>-9.8790087072061789E-3</v>
      </c>
      <c r="I59" s="71">
        <f t="shared" si="53"/>
        <v>-1.0809797254467688E-2</v>
      </c>
      <c r="J59" s="71">
        <f t="shared" si="53"/>
        <v>7.5048782330469618E-2</v>
      </c>
      <c r="K59" s="72">
        <f t="shared" si="53"/>
        <v>2.8263671534826351E-2</v>
      </c>
    </row>
    <row r="60" spans="1:11" s="43" customFormat="1" ht="26.4" x14ac:dyDescent="0.25">
      <c r="A60" s="139">
        <f t="shared" si="44"/>
        <v>-1.1460744452250083E-2</v>
      </c>
      <c r="B60" s="139">
        <f t="shared" si="45"/>
        <v>1.5313765381948247E-2</v>
      </c>
      <c r="C60" s="160">
        <f t="shared" si="46"/>
        <v>1.7922662900948013E-3</v>
      </c>
      <c r="D60" s="160">
        <f t="shared" si="47"/>
        <v>-1.0907450495636619E-3</v>
      </c>
      <c r="E60" s="50" t="s">
        <v>372</v>
      </c>
      <c r="F60" s="119">
        <f>F65/F79*100%</f>
        <v>1.2687379776625658E-2</v>
      </c>
      <c r="G60" s="119">
        <f t="shared" ref="G60:K60" si="54">G65/G79*100%</f>
        <v>-3.6053128666276922E-3</v>
      </c>
      <c r="H60" s="119">
        <f t="shared" si="54"/>
        <v>-3.5278435707627879E-3</v>
      </c>
      <c r="I60" s="119">
        <f t="shared" si="54"/>
        <v>-1.1460744452250083E-2</v>
      </c>
      <c r="J60" s="119">
        <f t="shared" si="54"/>
        <v>1.5313765381948247E-2</v>
      </c>
      <c r="K60" s="120">
        <f t="shared" si="54"/>
        <v>1.3463534716354644E-3</v>
      </c>
    </row>
    <row r="61" spans="1:11" s="43" customFormat="1" ht="13.2" x14ac:dyDescent="0.25">
      <c r="A61" s="139">
        <f t="shared" si="44"/>
        <v>-2.4182487627612903E-3</v>
      </c>
      <c r="B61" s="139">
        <f t="shared" si="45"/>
        <v>2.0096483781114265E-2</v>
      </c>
      <c r="C61" s="155">
        <f t="shared" si="46"/>
        <v>7.236058533811221E-3</v>
      </c>
      <c r="D61" s="156">
        <f t="shared" si="47"/>
        <v>4.0550632189196786E-3</v>
      </c>
      <c r="E61" s="50" t="s">
        <v>373</v>
      </c>
      <c r="F61" s="71">
        <f>F69/F79</f>
        <v>1.9813815205283702E-2</v>
      </c>
      <c r="G61" s="71">
        <f t="shared" ref="G61:K61" si="55">G69/G79</f>
        <v>1.2278186326498976E-3</v>
      </c>
      <c r="H61" s="71">
        <f t="shared" si="55"/>
        <v>-2.4182487627612903E-3</v>
      </c>
      <c r="I61" s="71">
        <f t="shared" si="55"/>
        <v>-2.185825458608705E-3</v>
      </c>
      <c r="J61" s="71">
        <f t="shared" si="55"/>
        <v>2.0096483781114265E-2</v>
      </c>
      <c r="K61" s="72">
        <f t="shared" si="55"/>
        <v>6.8823078051894583E-3</v>
      </c>
    </row>
    <row r="62" spans="1:11" s="43" customFormat="1" ht="13.2" x14ac:dyDescent="0.25">
      <c r="A62" s="139">
        <f t="shared" si="44"/>
        <v>2.3674085806893331E-3</v>
      </c>
      <c r="B62" s="139">
        <f t="shared" si="45"/>
        <v>2.0875748913002378E-2</v>
      </c>
      <c r="C62" s="155">
        <f t="shared" si="46"/>
        <v>6.5863121960115763E-3</v>
      </c>
      <c r="D62" s="156">
        <f t="shared" si="47"/>
        <v>4.0901832159009038E-3</v>
      </c>
      <c r="E62" s="50" t="s">
        <v>374</v>
      </c>
      <c r="F62" s="71">
        <f>F69/F80</f>
        <v>2.0875748913002378E-2</v>
      </c>
      <c r="G62" s="71">
        <f>G66/G80</f>
        <v>2.3674085806893331E-3</v>
      </c>
      <c r="H62" s="71">
        <f>H66/H80</f>
        <v>3.1135954999052299E-3</v>
      </c>
      <c r="I62" s="71">
        <f>I66/I80</f>
        <v>3.7181492000512351E-3</v>
      </c>
      <c r="J62" s="71">
        <f>J66/J80</f>
        <v>4.462217231750572E-3</v>
      </c>
      <c r="K62" s="72">
        <f>K66/K80</f>
        <v>4.9807537506707071E-3</v>
      </c>
    </row>
    <row r="63" spans="1:11" s="43" customFormat="1" ht="13.8" thickBot="1" x14ac:dyDescent="0.3">
      <c r="A63" s="139">
        <f t="shared" si="44"/>
        <v>-1.1932249457550202E-2</v>
      </c>
      <c r="B63" s="139">
        <f t="shared" si="45"/>
        <v>1.5937531118078444E-2</v>
      </c>
      <c r="C63" s="155">
        <f t="shared" si="46"/>
        <v>1.8946144584075101E-3</v>
      </c>
      <c r="D63" s="156">
        <f t="shared" si="47"/>
        <v>-1.1280083049026125E-3</v>
      </c>
      <c r="E63" s="51" t="s">
        <v>302</v>
      </c>
      <c r="F63" s="73">
        <f t="shared" ref="F63:K63" si="56">F65/(F80+F81)</f>
        <v>1.3348070650311695E-2</v>
      </c>
      <c r="G63" s="73">
        <f t="shared" si="56"/>
        <v>-3.7296489505896542E-3</v>
      </c>
      <c r="H63" s="73">
        <f t="shared" si="56"/>
        <v>-3.6478246853042578E-3</v>
      </c>
      <c r="I63" s="73">
        <f t="shared" si="56"/>
        <v>-1.1932249457550202E-2</v>
      </c>
      <c r="J63" s="73">
        <f t="shared" si="56"/>
        <v>1.5937531118078444E-2</v>
      </c>
      <c r="K63" s="74">
        <f t="shared" si="56"/>
        <v>1.391808075499033E-3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598288.29</v>
      </c>
      <c r="G65" s="76">
        <f t="shared" ref="G65:K65" si="57">G97</f>
        <v>-163692.10999999999</v>
      </c>
      <c r="H65" s="76">
        <f t="shared" si="57"/>
        <v>-159903.66</v>
      </c>
      <c r="I65" s="76">
        <f t="shared" si="57"/>
        <v>-523550.05</v>
      </c>
      <c r="J65" s="76">
        <f t="shared" si="57"/>
        <v>700880.78</v>
      </c>
      <c r="K65" s="76">
        <f t="shared" si="57"/>
        <v>59927.040000000001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110499.29</v>
      </c>
      <c r="G66" s="76">
        <f t="shared" ref="G66:K66" si="58">G95</f>
        <v>103747.02</v>
      </c>
      <c r="H66" s="76">
        <f t="shared" si="58"/>
        <v>136273.62</v>
      </c>
      <c r="I66" s="76">
        <f t="shared" si="58"/>
        <v>163140.84</v>
      </c>
      <c r="J66" s="76">
        <f t="shared" si="58"/>
        <v>196233.8</v>
      </c>
      <c r="K66" s="76">
        <f t="shared" si="58"/>
        <v>214456.17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2843327.52</v>
      </c>
      <c r="G67" s="76">
        <f t="shared" ref="G67:K67" si="59">G92</f>
        <v>1890065.86</v>
      </c>
      <c r="H67" s="76">
        <f t="shared" si="59"/>
        <v>1736233.7</v>
      </c>
      <c r="I67" s="76">
        <f t="shared" si="59"/>
        <v>1426979.78</v>
      </c>
      <c r="J67" s="76">
        <f t="shared" si="59"/>
        <v>2501815.87</v>
      </c>
      <c r="K67" s="76">
        <f t="shared" si="59"/>
        <v>2049579.77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934347.72</v>
      </c>
      <c r="G68" s="76">
        <f t="shared" ref="G68:K68" si="60">G102</f>
        <v>55754.68</v>
      </c>
      <c r="H68" s="76">
        <f t="shared" si="60"/>
        <v>-109499.97</v>
      </c>
      <c r="I68" s="76">
        <f t="shared" si="60"/>
        <v>-99852.94</v>
      </c>
      <c r="J68" s="76">
        <f t="shared" si="60"/>
        <v>919816.35</v>
      </c>
      <c r="K68" s="76">
        <f t="shared" si="60"/>
        <v>306401.84999999998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934343.72</v>
      </c>
      <c r="G69" s="76">
        <f t="shared" ref="G69:K69" si="61">G104</f>
        <v>55746.68</v>
      </c>
      <c r="H69" s="76">
        <f t="shared" si="61"/>
        <v>-109609.97</v>
      </c>
      <c r="I69" s="76">
        <f t="shared" si="61"/>
        <v>-99852.94</v>
      </c>
      <c r="J69" s="76">
        <f t="shared" si="61"/>
        <v>919776.35</v>
      </c>
      <c r="K69" s="76">
        <f t="shared" si="61"/>
        <v>306335.84999999998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194142.14</v>
      </c>
      <c r="G70" s="76">
        <f t="shared" ref="G70:K70" si="62">G93</f>
        <v>176559.82</v>
      </c>
      <c r="H70" s="76">
        <f t="shared" si="62"/>
        <v>175717.58</v>
      </c>
      <c r="I70" s="76">
        <f t="shared" si="62"/>
        <v>175990.84</v>
      </c>
      <c r="J70" s="76">
        <f t="shared" si="62"/>
        <v>215671.81</v>
      </c>
      <c r="K70" s="76">
        <f t="shared" si="62"/>
        <v>236594.18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179480.77</v>
      </c>
      <c r="G71" s="76">
        <f t="shared" ref="G71:K71" si="63">G98</f>
        <v>141196.34</v>
      </c>
      <c r="H71" s="76">
        <f t="shared" si="63"/>
        <v>194854.11</v>
      </c>
      <c r="I71" s="76">
        <f t="shared" si="63"/>
        <v>489399.03</v>
      </c>
      <c r="J71" s="76">
        <f t="shared" si="63"/>
        <v>154499.6</v>
      </c>
      <c r="K71" s="76">
        <f t="shared" si="63"/>
        <v>205970.58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12930454.050000001</v>
      </c>
      <c r="G72" s="76">
        <f t="shared" ref="G72:K74" si="64">G85</f>
        <v>10556375.189999999</v>
      </c>
      <c r="H72" s="76">
        <f t="shared" si="64"/>
        <v>10579825.6</v>
      </c>
      <c r="I72" s="76">
        <f t="shared" si="64"/>
        <v>7689656.7199999997</v>
      </c>
      <c r="J72" s="76">
        <f t="shared" si="64"/>
        <v>10601481.810000001</v>
      </c>
      <c r="K72" s="76">
        <f t="shared" si="64"/>
        <v>9149565.2899999991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145066.01999999999</v>
      </c>
      <c r="G73" s="76">
        <f t="shared" si="64"/>
        <v>139929.5</v>
      </c>
      <c r="H73" s="76">
        <f t="shared" si="64"/>
        <v>122728.1</v>
      </c>
      <c r="I73" s="76">
        <f t="shared" si="64"/>
        <v>848177.61</v>
      </c>
      <c r="J73" s="76">
        <f t="shared" si="64"/>
        <v>1182575.47</v>
      </c>
      <c r="K73" s="76">
        <f t="shared" si="64"/>
        <v>1144531.56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379642.26</v>
      </c>
      <c r="G75" s="76">
        <f t="shared" ref="G75:K75" si="65">G100</f>
        <v>98896.06</v>
      </c>
      <c r="H75" s="76">
        <f t="shared" si="65"/>
        <v>22114.35</v>
      </c>
      <c r="I75" s="76">
        <f t="shared" si="65"/>
        <v>34038.78</v>
      </c>
      <c r="J75" s="76">
        <f t="shared" si="65"/>
        <v>101484.48</v>
      </c>
      <c r="K75" s="76">
        <f t="shared" si="65"/>
        <v>101840.02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10009639.699999999</v>
      </c>
      <c r="G76" s="76">
        <f t="shared" ref="G76:K78" si="66">G89</f>
        <v>8646044.8300000001</v>
      </c>
      <c r="H76" s="76">
        <f t="shared" si="66"/>
        <v>8789116.0800000001</v>
      </c>
      <c r="I76" s="76">
        <f t="shared" si="66"/>
        <v>6213523.2599999998</v>
      </c>
      <c r="J76" s="76">
        <f t="shared" si="66"/>
        <v>6972081.1399999997</v>
      </c>
      <c r="K76" s="76">
        <f t="shared" si="66"/>
        <v>5991476.0199999996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222552.85</v>
      </c>
      <c r="G77" s="76">
        <f t="shared" si="66"/>
        <v>160194</v>
      </c>
      <c r="H77" s="76">
        <f t="shared" si="66"/>
        <v>177203.92</v>
      </c>
      <c r="I77" s="76">
        <f t="shared" si="66"/>
        <v>897331.29</v>
      </c>
      <c r="J77" s="76">
        <f t="shared" si="66"/>
        <v>2310160.27</v>
      </c>
      <c r="K77" s="76">
        <f t="shared" si="66"/>
        <v>2253041.06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47156174.130000003</v>
      </c>
      <c r="G79" s="76">
        <f t="shared" ref="G79:K79" si="67">G120</f>
        <v>45403024.939999998</v>
      </c>
      <c r="H79" s="76">
        <f t="shared" si="67"/>
        <v>45326176.399999999</v>
      </c>
      <c r="I79" s="76">
        <f t="shared" si="67"/>
        <v>45682028.090000004</v>
      </c>
      <c r="J79" s="76">
        <f t="shared" si="67"/>
        <v>45768023.899999999</v>
      </c>
      <c r="K79" s="76">
        <f t="shared" si="67"/>
        <v>44510629.090000004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44757374.880000003</v>
      </c>
      <c r="G80" s="76">
        <f t="shared" ref="G80:K80" si="68">G122</f>
        <v>43823031.159999996</v>
      </c>
      <c r="H80" s="76">
        <f t="shared" si="68"/>
        <v>43767284.479999997</v>
      </c>
      <c r="I80" s="76">
        <f t="shared" si="68"/>
        <v>43876894.450000003</v>
      </c>
      <c r="J80" s="76">
        <f t="shared" si="68"/>
        <v>43976747.390000001</v>
      </c>
      <c r="K80" s="76">
        <f t="shared" si="68"/>
        <v>43056971.039999999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64705.08</v>
      </c>
      <c r="G81" s="76">
        <f t="shared" ref="G81:K81" si="69">G129</f>
        <v>66383.679999999993</v>
      </c>
      <c r="H81" s="76">
        <f t="shared" si="69"/>
        <v>68062.28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13075520.07</v>
      </c>
      <c r="G84" s="90">
        <v>10696304.689999999</v>
      </c>
      <c r="H84" s="90">
        <v>10702553.699999999</v>
      </c>
      <c r="I84" s="90">
        <v>8537834.3300000001</v>
      </c>
      <c r="J84" s="90">
        <v>11784057.279999999</v>
      </c>
      <c r="K84" s="90">
        <v>10294096.85</v>
      </c>
    </row>
    <row r="85" spans="3:11" x14ac:dyDescent="0.3">
      <c r="E85" s="11" t="s">
        <v>3</v>
      </c>
      <c r="F85" s="90">
        <v>12930454.050000001</v>
      </c>
      <c r="G85" s="90">
        <v>10556375.189999999</v>
      </c>
      <c r="H85" s="90">
        <v>10579825.6</v>
      </c>
      <c r="I85" s="90">
        <v>7689656.7199999997</v>
      </c>
      <c r="J85" s="90">
        <v>10601481.810000001</v>
      </c>
      <c r="K85" s="90">
        <v>9149565.2899999991</v>
      </c>
    </row>
    <row r="86" spans="3:11" x14ac:dyDescent="0.3">
      <c r="E86" s="11" t="s">
        <v>4</v>
      </c>
      <c r="F86" s="90">
        <v>145066.01999999999</v>
      </c>
      <c r="G86" s="90">
        <v>139929.5</v>
      </c>
      <c r="H86" s="90">
        <v>122728.1</v>
      </c>
      <c r="I86" s="90">
        <v>848177.61</v>
      </c>
      <c r="J86" s="90">
        <v>1182575.47</v>
      </c>
      <c r="K86" s="90">
        <v>1144531.56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10232192.550000001</v>
      </c>
      <c r="G88" s="90">
        <v>8806238.8300000001</v>
      </c>
      <c r="H88" s="90">
        <v>8966320</v>
      </c>
      <c r="I88" s="90">
        <v>7110854.5499999998</v>
      </c>
      <c r="J88" s="90">
        <v>9282241.4100000001</v>
      </c>
      <c r="K88" s="90">
        <v>8244517.0800000001</v>
      </c>
    </row>
    <row r="89" spans="3:11" x14ac:dyDescent="0.3">
      <c r="E89" s="11" t="s">
        <v>7</v>
      </c>
      <c r="F89" s="90">
        <v>10009639.699999999</v>
      </c>
      <c r="G89" s="90">
        <v>8646044.8300000001</v>
      </c>
      <c r="H89" s="90">
        <v>8789116.0800000001</v>
      </c>
      <c r="I89" s="90">
        <v>6213523.2599999998</v>
      </c>
      <c r="J89" s="90">
        <v>6972081.1399999997</v>
      </c>
      <c r="K89" s="90">
        <v>5991476.0199999996</v>
      </c>
    </row>
    <row r="90" spans="3:11" x14ac:dyDescent="0.3">
      <c r="E90" s="11" t="s">
        <v>8</v>
      </c>
      <c r="F90" s="90">
        <v>222552.85</v>
      </c>
      <c r="G90" s="90">
        <v>160194</v>
      </c>
      <c r="H90" s="90">
        <v>177203.92</v>
      </c>
      <c r="I90" s="90">
        <v>897331.29</v>
      </c>
      <c r="J90" s="90">
        <v>2310160.27</v>
      </c>
      <c r="K90" s="90">
        <v>2253041.06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2843327.52</v>
      </c>
      <c r="G92" s="90">
        <v>1890065.86</v>
      </c>
      <c r="H92" s="90">
        <v>1736233.7</v>
      </c>
      <c r="I92" s="90">
        <v>1426979.78</v>
      </c>
      <c r="J92" s="90">
        <v>2501815.87</v>
      </c>
      <c r="K92" s="90">
        <v>2049579.77</v>
      </c>
    </row>
    <row r="93" spans="3:11" x14ac:dyDescent="0.3">
      <c r="E93" s="11" t="s">
        <v>11</v>
      </c>
      <c r="F93" s="90">
        <v>194142.14</v>
      </c>
      <c r="G93" s="90">
        <v>176559.82</v>
      </c>
      <c r="H93" s="90">
        <v>175717.58</v>
      </c>
      <c r="I93" s="90">
        <v>175990.84</v>
      </c>
      <c r="J93" s="90">
        <v>215671.81</v>
      </c>
      <c r="K93" s="90">
        <v>236594.18</v>
      </c>
    </row>
    <row r="94" spans="3:11" x14ac:dyDescent="0.3">
      <c r="E94" s="11" t="s">
        <v>12</v>
      </c>
      <c r="F94" s="90">
        <v>83642.850000000006</v>
      </c>
      <c r="G94" s="90">
        <v>72812.800000000003</v>
      </c>
      <c r="H94" s="90">
        <v>39443.96</v>
      </c>
      <c r="I94" s="90">
        <v>12850</v>
      </c>
      <c r="J94" s="90">
        <v>19438.009999999998</v>
      </c>
      <c r="K94" s="90">
        <v>22138.01</v>
      </c>
    </row>
    <row r="95" spans="3:11" x14ac:dyDescent="0.3">
      <c r="E95" s="11" t="s">
        <v>13</v>
      </c>
      <c r="F95" s="90">
        <v>110499.29</v>
      </c>
      <c r="G95" s="90">
        <v>103747.02</v>
      </c>
      <c r="H95" s="90">
        <v>136273.62</v>
      </c>
      <c r="I95" s="90">
        <v>163140.84</v>
      </c>
      <c r="J95" s="90">
        <v>196233.8</v>
      </c>
      <c r="K95" s="90">
        <v>214456.17</v>
      </c>
    </row>
    <row r="96" spans="3:11" x14ac:dyDescent="0.3">
      <c r="E96" s="11" t="s">
        <v>14</v>
      </c>
      <c r="F96" s="90">
        <v>2355538.52</v>
      </c>
      <c r="G96" s="90">
        <v>2157504.9900000002</v>
      </c>
      <c r="H96" s="90">
        <v>2032410.98</v>
      </c>
      <c r="I96" s="90">
        <v>2113670.67</v>
      </c>
      <c r="J96" s="90">
        <v>1997168.89</v>
      </c>
      <c r="K96" s="90">
        <v>2204108.9</v>
      </c>
    </row>
    <row r="97" spans="5:11" x14ac:dyDescent="0.3">
      <c r="E97" s="11" t="s">
        <v>15</v>
      </c>
      <c r="F97" s="90">
        <v>598288.29</v>
      </c>
      <c r="G97" s="90">
        <v>-163692.10999999999</v>
      </c>
      <c r="H97" s="90">
        <v>-159903.66</v>
      </c>
      <c r="I97" s="90">
        <v>-523550.05</v>
      </c>
      <c r="J97" s="90">
        <v>700880.78</v>
      </c>
      <c r="K97" s="90">
        <v>59927.040000000001</v>
      </c>
    </row>
    <row r="98" spans="5:11" x14ac:dyDescent="0.3">
      <c r="E98" s="11" t="s">
        <v>16</v>
      </c>
      <c r="F98" s="90">
        <v>179480.77</v>
      </c>
      <c r="G98" s="90">
        <v>141196.34</v>
      </c>
      <c r="H98" s="90">
        <v>194854.11</v>
      </c>
      <c r="I98" s="90">
        <v>489399.03</v>
      </c>
      <c r="J98" s="90">
        <v>154499.6</v>
      </c>
      <c r="K98" s="90">
        <v>205970.58</v>
      </c>
    </row>
    <row r="99" spans="5:11" x14ac:dyDescent="0.3">
      <c r="E99" s="11" t="s">
        <v>17</v>
      </c>
      <c r="F99" s="90">
        <v>167144.07999999999</v>
      </c>
      <c r="G99" s="90">
        <v>20602.46</v>
      </c>
      <c r="H99" s="90">
        <v>166147.25</v>
      </c>
      <c r="I99" s="90">
        <v>98726.45</v>
      </c>
      <c r="J99" s="90">
        <v>36815.47</v>
      </c>
      <c r="K99" s="90">
        <v>61079.5</v>
      </c>
    </row>
    <row r="100" spans="5:11" x14ac:dyDescent="0.3">
      <c r="E100" s="11" t="s">
        <v>18</v>
      </c>
      <c r="F100" s="90">
        <v>379642.26</v>
      </c>
      <c r="G100" s="90">
        <v>98896.06</v>
      </c>
      <c r="H100" s="90">
        <v>22114.35</v>
      </c>
      <c r="I100" s="90">
        <v>34038.78</v>
      </c>
      <c r="J100" s="90">
        <v>101484.48</v>
      </c>
      <c r="K100" s="90">
        <v>101840.02</v>
      </c>
    </row>
    <row r="101" spans="5:11" x14ac:dyDescent="0.3">
      <c r="E101" s="11" t="s">
        <v>19</v>
      </c>
      <c r="F101" s="90">
        <v>55919.519999999997</v>
      </c>
      <c r="G101" s="107">
        <v>43.15</v>
      </c>
      <c r="H101" s="107">
        <v>417.52</v>
      </c>
      <c r="I101" s="90">
        <v>1014.25</v>
      </c>
      <c r="J101" s="107">
        <v>233.04</v>
      </c>
      <c r="K101" s="107">
        <v>256.29000000000002</v>
      </c>
    </row>
    <row r="102" spans="5:11" x14ac:dyDescent="0.3">
      <c r="E102" s="11" t="s">
        <v>20</v>
      </c>
      <c r="F102" s="90">
        <v>934347.72</v>
      </c>
      <c r="G102" s="90">
        <v>55754.68</v>
      </c>
      <c r="H102" s="90">
        <v>-109499.97</v>
      </c>
      <c r="I102" s="90">
        <v>-99852.94</v>
      </c>
      <c r="J102" s="90">
        <v>919816.35</v>
      </c>
      <c r="K102" s="90">
        <v>306401.84999999998</v>
      </c>
    </row>
    <row r="103" spans="5:11" x14ac:dyDescent="0.3">
      <c r="E103" s="11" t="s">
        <v>21</v>
      </c>
      <c r="F103" s="107">
        <v>4</v>
      </c>
      <c r="G103" s="107">
        <v>8</v>
      </c>
      <c r="H103" s="107">
        <v>110</v>
      </c>
      <c r="I103" s="107">
        <v>0</v>
      </c>
      <c r="J103" s="107">
        <v>40</v>
      </c>
      <c r="K103" s="107">
        <v>66</v>
      </c>
    </row>
    <row r="104" spans="5:11" x14ac:dyDescent="0.3">
      <c r="E104" s="11" t="s">
        <v>22</v>
      </c>
      <c r="F104" s="90">
        <v>934343.72</v>
      </c>
      <c r="G104" s="90">
        <v>55746.68</v>
      </c>
      <c r="H104" s="90">
        <v>-109609.97</v>
      </c>
      <c r="I104" s="90">
        <v>-99852.94</v>
      </c>
      <c r="J104" s="90">
        <v>919776.35</v>
      </c>
      <c r="K104" s="90">
        <v>306335.84999999998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29926221.539999999</v>
      </c>
      <c r="G108" s="90">
        <v>29375866.84</v>
      </c>
      <c r="H108" s="90">
        <v>29930106.379999999</v>
      </c>
      <c r="I108" s="90">
        <v>30828157.800000001</v>
      </c>
      <c r="J108" s="90">
        <v>31709062.989999998</v>
      </c>
      <c r="K108" s="90">
        <v>32736439.23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90">
        <v>4594.37</v>
      </c>
      <c r="I109" s="90">
        <v>10720.13</v>
      </c>
      <c r="J109" s="90">
        <v>16845.89</v>
      </c>
      <c r="K109" s="90">
        <v>22971.65</v>
      </c>
    </row>
    <row r="110" spans="5:11" ht="15" customHeight="1" x14ac:dyDescent="0.3">
      <c r="E110" s="8" t="s">
        <v>29</v>
      </c>
      <c r="F110" s="90">
        <v>29926221.539999999</v>
      </c>
      <c r="G110" s="90">
        <v>29375866.84</v>
      </c>
      <c r="H110" s="90">
        <v>29925512.010000002</v>
      </c>
      <c r="I110" s="90">
        <v>30817437.670000002</v>
      </c>
      <c r="J110" s="90">
        <v>31691217.100000001</v>
      </c>
      <c r="K110" s="90">
        <v>32712467.579999998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90">
        <v>1000</v>
      </c>
      <c r="K112" s="90">
        <v>1000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17229952.59</v>
      </c>
      <c r="G114" s="90">
        <v>16027158.1</v>
      </c>
      <c r="H114" s="90">
        <v>15396070.02</v>
      </c>
      <c r="I114" s="90">
        <v>14853870.289999999</v>
      </c>
      <c r="J114" s="90">
        <v>14058960.91</v>
      </c>
      <c r="K114" s="90">
        <v>11774189.859999999</v>
      </c>
    </row>
    <row r="115" spans="5:11" x14ac:dyDescent="0.3">
      <c r="E115" s="8" t="s">
        <v>34</v>
      </c>
      <c r="F115" s="90">
        <v>35464.699999999997</v>
      </c>
      <c r="G115" s="90">
        <v>28976.91</v>
      </c>
      <c r="H115" s="90">
        <v>19968.12</v>
      </c>
      <c r="I115" s="90">
        <v>9099.9500000000007</v>
      </c>
      <c r="J115" s="90">
        <v>104904.26</v>
      </c>
      <c r="K115" s="90">
        <v>27371.26</v>
      </c>
    </row>
    <row r="116" spans="5:11" ht="15" customHeight="1" x14ac:dyDescent="0.3">
      <c r="E116" s="8" t="s">
        <v>35</v>
      </c>
      <c r="F116" s="90">
        <v>63472.69</v>
      </c>
      <c r="G116" s="90">
        <v>127951.56</v>
      </c>
      <c r="H116" s="90">
        <v>207026.69</v>
      </c>
      <c r="I116" s="90">
        <v>107719.22</v>
      </c>
      <c r="J116" s="90">
        <v>160833.64000000001</v>
      </c>
      <c r="K116" s="90">
        <v>148897.04</v>
      </c>
    </row>
    <row r="117" spans="5:11" ht="15" customHeight="1" x14ac:dyDescent="0.3">
      <c r="E117" s="8" t="s">
        <v>36</v>
      </c>
      <c r="F117" s="90">
        <v>17113189.359999999</v>
      </c>
      <c r="G117" s="90">
        <v>15869106.43</v>
      </c>
      <c r="H117" s="90">
        <v>15161561.82</v>
      </c>
      <c r="I117" s="90">
        <v>14728406.529999999</v>
      </c>
      <c r="J117" s="90">
        <v>13733215.51</v>
      </c>
      <c r="K117" s="90">
        <v>11560985.880000001</v>
      </c>
    </row>
    <row r="118" spans="5:11" ht="15" customHeight="1" x14ac:dyDescent="0.3">
      <c r="E118" s="8" t="s">
        <v>37</v>
      </c>
      <c r="F118" s="90">
        <v>17825.84</v>
      </c>
      <c r="G118" s="90">
        <v>1123.2</v>
      </c>
      <c r="H118" s="90">
        <v>7513.39</v>
      </c>
      <c r="I118" s="90">
        <v>8644.59</v>
      </c>
      <c r="J118" s="90">
        <v>60007.5</v>
      </c>
      <c r="K118" s="90">
        <v>36935.68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47156174.130000003</v>
      </c>
      <c r="G120" s="90">
        <v>45403024.939999998</v>
      </c>
      <c r="H120" s="90">
        <v>45326176.399999999</v>
      </c>
      <c r="I120" s="90">
        <v>45682028.090000004</v>
      </c>
      <c r="J120" s="90">
        <v>45768023.899999999</v>
      </c>
      <c r="K120" s="90">
        <v>44510629.090000004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44757374.880000003</v>
      </c>
      <c r="G122" s="90">
        <v>43823031.159999996</v>
      </c>
      <c r="H122" s="90">
        <v>43767284.479999997</v>
      </c>
      <c r="I122" s="90">
        <v>43876894.450000003</v>
      </c>
      <c r="J122" s="90">
        <v>43976747.390000001</v>
      </c>
      <c r="K122" s="90">
        <v>43056971.039999999</v>
      </c>
    </row>
    <row r="123" spans="5:11" x14ac:dyDescent="0.3">
      <c r="E123" s="8" t="s">
        <v>42</v>
      </c>
      <c r="F123" s="90">
        <v>43818031.159999996</v>
      </c>
      <c r="G123" s="90">
        <v>43762284.479999997</v>
      </c>
      <c r="H123" s="90">
        <v>43871894.450000003</v>
      </c>
      <c r="I123" s="90">
        <v>43971747.390000001</v>
      </c>
      <c r="J123" s="90">
        <v>43051971.039999999</v>
      </c>
      <c r="K123" s="90">
        <v>42745635.189999998</v>
      </c>
    </row>
    <row r="124" spans="5:11" x14ac:dyDescent="0.3">
      <c r="E124" s="8" t="s">
        <v>43</v>
      </c>
      <c r="F124" s="90">
        <v>5000</v>
      </c>
      <c r="G124" s="90">
        <v>5000</v>
      </c>
      <c r="H124" s="90">
        <v>5000</v>
      </c>
      <c r="I124" s="90">
        <v>5000</v>
      </c>
      <c r="J124" s="90">
        <v>5000</v>
      </c>
      <c r="K124" s="90">
        <v>5000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934343.72</v>
      </c>
      <c r="G126" s="90">
        <v>55746.68</v>
      </c>
      <c r="H126" s="90">
        <v>-109609.97</v>
      </c>
      <c r="I126" s="90">
        <v>-99852.94</v>
      </c>
      <c r="J126" s="90">
        <v>919776.35</v>
      </c>
      <c r="K126" s="90">
        <v>306335.84999999998</v>
      </c>
    </row>
    <row r="127" spans="5:11" ht="15" customHeight="1" x14ac:dyDescent="0.3">
      <c r="E127" s="18" t="s">
        <v>91</v>
      </c>
      <c r="F127" s="90">
        <v>2398799.25</v>
      </c>
      <c r="G127" s="90">
        <v>1579993.78</v>
      </c>
      <c r="H127" s="90">
        <v>1558891.92</v>
      </c>
      <c r="I127" s="90">
        <v>1805133.64</v>
      </c>
      <c r="J127" s="90">
        <v>1791276.51</v>
      </c>
      <c r="K127" s="90">
        <v>1453658.05</v>
      </c>
    </row>
    <row r="128" spans="5:11" ht="15" customHeight="1" x14ac:dyDescent="0.3">
      <c r="E128" s="8" t="s">
        <v>46</v>
      </c>
      <c r="F128" s="90">
        <v>10684.1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64705.08</v>
      </c>
      <c r="G129" s="90">
        <v>66383.679999999993</v>
      </c>
      <c r="H129" s="90">
        <v>68062.28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342769.81</v>
      </c>
      <c r="G130" s="90">
        <v>307682.06</v>
      </c>
      <c r="H130" s="90">
        <v>270436.02</v>
      </c>
      <c r="I130" s="90">
        <v>345748.84</v>
      </c>
      <c r="J130" s="90">
        <v>243685.49</v>
      </c>
      <c r="K130" s="90">
        <v>205291.09</v>
      </c>
    </row>
    <row r="131" spans="5:11" ht="15" customHeight="1" x14ac:dyDescent="0.3">
      <c r="E131" s="17" t="s">
        <v>88</v>
      </c>
      <c r="F131" s="90">
        <v>1980640.26</v>
      </c>
      <c r="G131" s="90">
        <v>1205928.04</v>
      </c>
      <c r="H131" s="90">
        <v>1220393.6200000001</v>
      </c>
      <c r="I131" s="90">
        <v>1459384.8</v>
      </c>
      <c r="J131" s="90">
        <v>1547591.02</v>
      </c>
      <c r="K131" s="90">
        <v>1248366.96</v>
      </c>
    </row>
    <row r="132" spans="5:11" x14ac:dyDescent="0.3">
      <c r="E132" s="7" t="s">
        <v>47</v>
      </c>
      <c r="F132" s="90">
        <v>47156174.130000003</v>
      </c>
      <c r="G132" s="90">
        <v>45403024.939999998</v>
      </c>
      <c r="H132" s="90">
        <v>45326176.399999999</v>
      </c>
      <c r="I132" s="90">
        <v>45682028.090000004</v>
      </c>
      <c r="J132" s="90">
        <v>45768023.899999999</v>
      </c>
      <c r="K132" s="90">
        <v>44510629.090000004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18C16-0214-4628-AC66-FFA358BB9C7C}">
  <sheetPr>
    <tabColor theme="4" tint="0.79998168889431442"/>
  </sheetPr>
  <dimension ref="A1:N156"/>
  <sheetViews>
    <sheetView topLeftCell="A153" workbookViewId="0">
      <selection sqref="A1:L162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22" customWidth="1"/>
    <col min="6" max="10" width="18.33203125" style="28" customWidth="1"/>
    <col min="11" max="11" width="18.33203125" style="27" customWidth="1"/>
    <col min="12" max="13" width="15" style="22" customWidth="1"/>
    <col min="14" max="16384" width="9.109375" style="22"/>
  </cols>
  <sheetData>
    <row r="1" spans="1:11" x14ac:dyDescent="0.25">
      <c r="E1" s="184" t="s">
        <v>422</v>
      </c>
      <c r="F1" s="188"/>
      <c r="G1" s="188"/>
      <c r="H1" s="188"/>
      <c r="I1" s="188"/>
      <c r="J1" s="188"/>
      <c r="K1" s="189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5">
      <c r="A4" s="139">
        <f>MIN(F4:K4)</f>
        <v>0.63210805916805746</v>
      </c>
      <c r="B4" s="139">
        <f>MAX(F4:K4)</f>
        <v>0.84823776465450662</v>
      </c>
      <c r="C4" s="155">
        <f>AVERAGE(F4:K4)</f>
        <v>0.72050961563884053</v>
      </c>
      <c r="D4" s="156">
        <f>MEDIAN(F4:K4)</f>
        <v>0.69065222067565313</v>
      </c>
      <c r="E4" s="47" t="s">
        <v>364</v>
      </c>
      <c r="F4" s="122">
        <f>SUM(F9:F12)/SUM(F13:F15)</f>
        <v>0.84823776465450662</v>
      </c>
      <c r="G4" s="122">
        <f t="shared" ref="G4:J4" si="0">SUM(G9:G12)/SUM(G13:G15)</f>
        <v>0.78379201294152223</v>
      </c>
      <c r="H4" s="122">
        <f t="shared" si="0"/>
        <v>0.69065222067565313</v>
      </c>
      <c r="I4" s="122">
        <f t="shared" si="0"/>
        <v>0.64775802075446365</v>
      </c>
      <c r="J4" s="122">
        <f t="shared" si="0"/>
        <v>0.63210805916805746</v>
      </c>
      <c r="K4" s="173"/>
    </row>
    <row r="5" spans="1:11" s="43" customFormat="1" x14ac:dyDescent="0.25">
      <c r="A5" s="139">
        <f t="shared" ref="A5:A7" si="1">MIN(F5:K5)</f>
        <v>3.6557111034832195</v>
      </c>
      <c r="B5" s="139">
        <f t="shared" ref="B5:B7" si="2">MAX(F5:K5)</f>
        <v>9.4640230419252287</v>
      </c>
      <c r="C5" s="155">
        <f t="shared" ref="C5:C7" si="3">AVERAGEIF(F5:K5,"&gt;0")</f>
        <v>6.0244139274776414</v>
      </c>
      <c r="D5" s="156">
        <f t="shared" ref="D5:D7" si="4">_xlfn.AGGREGATE(12,6,F5:K5)</f>
        <v>4.5126186123383709</v>
      </c>
      <c r="E5" s="47" t="s">
        <v>363</v>
      </c>
      <c r="F5" s="122">
        <f t="shared" ref="F5:J5" si="5">SUM(F9:F12)/F14</f>
        <v>9.4640230419252287</v>
      </c>
      <c r="G5" s="122">
        <f t="shared" si="5"/>
        <v>8.661194667976206</v>
      </c>
      <c r="H5" s="122">
        <f t="shared" si="5"/>
        <v>4.5126186123383709</v>
      </c>
      <c r="I5" s="122">
        <f t="shared" si="5"/>
        <v>3.6557111034832195</v>
      </c>
      <c r="J5" s="122">
        <f t="shared" si="5"/>
        <v>3.8285222116651823</v>
      </c>
      <c r="K5" s="173"/>
    </row>
    <row r="6" spans="1:11" s="43" customFormat="1" x14ac:dyDescent="0.25">
      <c r="A6" s="139">
        <f t="shared" si="1"/>
        <v>3.4958544703507433</v>
      </c>
      <c r="B6" s="139">
        <f t="shared" si="2"/>
        <v>8.9269408275025057</v>
      </c>
      <c r="C6" s="155">
        <f t="shared" si="3"/>
        <v>5.7024456968493542</v>
      </c>
      <c r="D6" s="156">
        <f t="shared" si="4"/>
        <v>4.3073217363174523</v>
      </c>
      <c r="E6" s="47" t="s">
        <v>365</v>
      </c>
      <c r="F6" s="122">
        <f t="shared" ref="F6:J6" si="6">SUM(F10:F11)/F14</f>
        <v>8.9269408275025057</v>
      </c>
      <c r="G6" s="122">
        <f t="shared" si="6"/>
        <v>8.1452161040455469</v>
      </c>
      <c r="H6" s="122">
        <f t="shared" si="6"/>
        <v>4.3073217363174523</v>
      </c>
      <c r="I6" s="122">
        <f t="shared" si="6"/>
        <v>3.4958544703507433</v>
      </c>
      <c r="J6" s="122">
        <f t="shared" si="6"/>
        <v>3.6368953460305282</v>
      </c>
      <c r="K6" s="173"/>
    </row>
    <row r="7" spans="1:11" s="43" customFormat="1" ht="13.8" thickBot="1" x14ac:dyDescent="0.3">
      <c r="A7" s="139">
        <f t="shared" si="1"/>
        <v>1.6801207634746429</v>
      </c>
      <c r="B7" s="139">
        <f t="shared" si="2"/>
        <v>6.4293729454962012</v>
      </c>
      <c r="C7" s="155">
        <f t="shared" si="3"/>
        <v>3.1172526750203606</v>
      </c>
      <c r="D7" s="156">
        <f t="shared" si="4"/>
        <v>2.0034861404982531</v>
      </c>
      <c r="E7" s="49" t="s">
        <v>366</v>
      </c>
      <c r="F7" s="123">
        <f t="shared" ref="F7:J7" si="7">F11/F14</f>
        <v>6.4293729454962012</v>
      </c>
      <c r="G7" s="123">
        <f t="shared" si="7"/>
        <v>3.535598760829183</v>
      </c>
      <c r="H7" s="123">
        <f t="shared" si="7"/>
        <v>2.0034861404982531</v>
      </c>
      <c r="I7" s="123">
        <f t="shared" si="7"/>
        <v>1.6801207634746429</v>
      </c>
      <c r="J7" s="123">
        <f t="shared" si="7"/>
        <v>1.9376847648035227</v>
      </c>
      <c r="K7" s="171"/>
    </row>
    <row r="8" spans="1:11" s="43" customFormat="1" x14ac:dyDescent="0.25">
      <c r="C8" s="79"/>
      <c r="D8" s="79"/>
    </row>
    <row r="9" spans="1:11" s="43" customFormat="1" x14ac:dyDescent="0.25">
      <c r="C9" s="79"/>
      <c r="D9" s="79"/>
      <c r="E9" s="43" t="s">
        <v>289</v>
      </c>
      <c r="F9" s="76">
        <f>F93</f>
        <v>271433.2</v>
      </c>
      <c r="G9" s="76">
        <f t="shared" ref="G9:K9" si="8">G93</f>
        <v>271433.2</v>
      </c>
      <c r="H9" s="76">
        <f t="shared" si="8"/>
        <v>271433.2</v>
      </c>
      <c r="I9" s="76">
        <f t="shared" si="8"/>
        <v>270233.2</v>
      </c>
      <c r="J9" s="76">
        <f t="shared" si="8"/>
        <v>270233.2</v>
      </c>
      <c r="K9" s="76">
        <f t="shared" si="8"/>
        <v>190559.44</v>
      </c>
    </row>
    <row r="10" spans="1:11" s="43" customFormat="1" x14ac:dyDescent="0.25">
      <c r="C10" s="79"/>
      <c r="D10" s="79"/>
      <c r="E10" s="43" t="s">
        <v>288</v>
      </c>
      <c r="F10" s="76">
        <f>F94</f>
        <v>2087211.31</v>
      </c>
      <c r="G10" s="76">
        <f t="shared" ref="G10:K10" si="9">G94</f>
        <v>3990493</v>
      </c>
      <c r="H10" s="76">
        <f t="shared" si="9"/>
        <v>4765020.26</v>
      </c>
      <c r="I10" s="76">
        <f t="shared" si="9"/>
        <v>5013307.62</v>
      </c>
      <c r="J10" s="76">
        <f t="shared" si="9"/>
        <v>4285432.45</v>
      </c>
      <c r="K10" s="76">
        <f t="shared" si="9"/>
        <v>5523732.0999999996</v>
      </c>
    </row>
    <row r="11" spans="1:11" s="43" customFormat="1" x14ac:dyDescent="0.25">
      <c r="C11" s="79"/>
      <c r="D11" s="79"/>
      <c r="E11" s="43" t="s">
        <v>287</v>
      </c>
      <c r="F11" s="76">
        <f>F95</f>
        <v>5373011.0899999999</v>
      </c>
      <c r="G11" s="76">
        <f t="shared" ref="G11:K11" si="10">G95</f>
        <v>3060727.4</v>
      </c>
      <c r="H11" s="76">
        <f t="shared" si="10"/>
        <v>4143807.86</v>
      </c>
      <c r="I11" s="76">
        <f t="shared" si="10"/>
        <v>4638875.29</v>
      </c>
      <c r="J11" s="76">
        <f t="shared" si="10"/>
        <v>4886867.62</v>
      </c>
      <c r="K11" s="76">
        <f t="shared" si="10"/>
        <v>2069991.18</v>
      </c>
    </row>
    <row r="12" spans="1:11" s="43" customFormat="1" x14ac:dyDescent="0.25">
      <c r="C12" s="79"/>
      <c r="D12" s="79"/>
      <c r="E12" s="43" t="s">
        <v>290</v>
      </c>
      <c r="F12" s="76">
        <f>F96</f>
        <v>177405.08</v>
      </c>
      <c r="G12" s="76">
        <f t="shared" ref="G12:K12" si="11">G96</f>
        <v>175243.54</v>
      </c>
      <c r="H12" s="76">
        <f t="shared" si="11"/>
        <v>153182.07</v>
      </c>
      <c r="I12" s="76">
        <f t="shared" si="11"/>
        <v>171136.85</v>
      </c>
      <c r="J12" s="76">
        <f t="shared" si="11"/>
        <v>213052.39</v>
      </c>
      <c r="K12" s="76">
        <f t="shared" si="11"/>
        <v>380716.79</v>
      </c>
    </row>
    <row r="13" spans="1:11" s="43" customFormat="1" x14ac:dyDescent="0.25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5">
      <c r="C14" s="79"/>
      <c r="D14" s="79"/>
      <c r="E14" s="43" t="s">
        <v>286</v>
      </c>
      <c r="F14" s="76">
        <f>F108</f>
        <v>835697.53</v>
      </c>
      <c r="G14" s="76">
        <f t="shared" ref="G14:K14" si="13">G108</f>
        <v>865688.56</v>
      </c>
      <c r="H14" s="76">
        <f t="shared" si="13"/>
        <v>2068298.74</v>
      </c>
      <c r="I14" s="76">
        <f t="shared" si="13"/>
        <v>2761036.82</v>
      </c>
      <c r="J14" s="76">
        <f t="shared" si="13"/>
        <v>2522013.75</v>
      </c>
      <c r="K14" s="76">
        <f t="shared" si="13"/>
        <v>0</v>
      </c>
    </row>
    <row r="15" spans="1:11" s="43" customFormat="1" x14ac:dyDescent="0.25">
      <c r="C15" s="79"/>
      <c r="D15" s="79"/>
      <c r="E15" s="43" t="s">
        <v>362</v>
      </c>
      <c r="F15" s="76">
        <f>F109</f>
        <v>8488410.6500000004</v>
      </c>
      <c r="G15" s="76">
        <f t="shared" ref="G15:K15" si="14">G109</f>
        <v>8700493.5600000005</v>
      </c>
      <c r="H15" s="76">
        <f t="shared" si="14"/>
        <v>11445656.779999999</v>
      </c>
      <c r="I15" s="76">
        <f t="shared" si="14"/>
        <v>12821252.609999999</v>
      </c>
      <c r="J15" s="76">
        <f t="shared" si="14"/>
        <v>12753199.91</v>
      </c>
      <c r="K15" s="76">
        <f t="shared" si="14"/>
        <v>0</v>
      </c>
    </row>
    <row r="16" spans="1:11" s="43" customFormat="1" x14ac:dyDescent="0.25">
      <c r="C16" s="79"/>
      <c r="D16" s="79"/>
    </row>
    <row r="17" spans="1:12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s="43" customFormat="1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2" s="43" customFormat="1" x14ac:dyDescent="0.25">
      <c r="A19" s="152">
        <f t="shared" ref="A19:A25" si="15">MIN(F19:K19)</f>
        <v>-6237.4781841179756</v>
      </c>
      <c r="B19" s="152">
        <f t="shared" ref="B19:B25" si="16">MAX(F19:K19)</f>
        <v>1829.2920666372497</v>
      </c>
      <c r="C19" s="156">
        <f>AVERAGE(F19:K19)</f>
        <v>-188.57875586247005</v>
      </c>
      <c r="D19" s="156">
        <f>MEDIAN(F19:K19)</f>
        <v>739.41531453875268</v>
      </c>
      <c r="E19" s="47" t="s">
        <v>293</v>
      </c>
      <c r="F19" s="71">
        <f>F28/(F27/365)</f>
        <v>329.17360426879986</v>
      </c>
      <c r="G19" s="71">
        <f t="shared" ref="G19:K19" si="17">G28/(G27/365)</f>
        <v>640.23597659069321</v>
      </c>
      <c r="H19" s="71">
        <f t="shared" si="17"/>
        <v>838.59465248681215</v>
      </c>
      <c r="I19" s="71">
        <f t="shared" si="17"/>
        <v>1829.2920666372497</v>
      </c>
      <c r="J19" s="71">
        <f t="shared" si="17"/>
        <v>1468.7093489596004</v>
      </c>
      <c r="K19" s="71">
        <f t="shared" si="17"/>
        <v>-6237.4781841179756</v>
      </c>
    </row>
    <row r="20" spans="1:12" s="43" customFormat="1" x14ac:dyDescent="0.25">
      <c r="A20" s="152">
        <f t="shared" si="15"/>
        <v>-215.18247595275997</v>
      </c>
      <c r="B20" s="152">
        <f t="shared" si="16"/>
        <v>98.604651134892308</v>
      </c>
      <c r="C20" s="156">
        <f t="shared" ref="C20:C25" si="18">AVERAGE(F20:K20)</f>
        <v>18.36047077802596</v>
      </c>
      <c r="D20" s="156">
        <f t="shared" ref="D20:D25" si="19">MEDIAN(F20:K20)</f>
        <v>45.659143284989753</v>
      </c>
      <c r="E20" s="121" t="s">
        <v>367</v>
      </c>
      <c r="F20" s="71">
        <f>F29/(F27/365)</f>
        <v>42.807666063391544</v>
      </c>
      <c r="G20" s="71">
        <f t="shared" ref="G20:K20" si="20">G29/(G27/365)</f>
        <v>43.548829651157632</v>
      </c>
      <c r="H20" s="71">
        <f t="shared" si="20"/>
        <v>47.769456918821874</v>
      </c>
      <c r="I20" s="71">
        <f t="shared" si="20"/>
        <v>98.604651134892308</v>
      </c>
      <c r="J20" s="71">
        <f t="shared" si="20"/>
        <v>92.614696852652415</v>
      </c>
      <c r="K20" s="71">
        <f t="shared" si="20"/>
        <v>-215.18247595275997</v>
      </c>
    </row>
    <row r="21" spans="1:12" s="43" customFormat="1" x14ac:dyDescent="0.25">
      <c r="A21" s="152">
        <f t="shared" si="15"/>
        <v>0</v>
      </c>
      <c r="B21" s="152">
        <f t="shared" si="16"/>
        <v>1007.4671520993438</v>
      </c>
      <c r="C21" s="156">
        <f t="shared" si="18"/>
        <v>417.75059298908997</v>
      </c>
      <c r="D21" s="156">
        <f t="shared" si="19"/>
        <v>251.44534859051788</v>
      </c>
      <c r="E21" s="47" t="s">
        <v>368</v>
      </c>
      <c r="F21" s="71">
        <f>F30/(F27/365)</f>
        <v>131.7976606923587</v>
      </c>
      <c r="G21" s="71">
        <f t="shared" ref="G21:K21" si="21">G30/(G27/365)</f>
        <v>138.89135017527684</v>
      </c>
      <c r="H21" s="71">
        <f t="shared" si="21"/>
        <v>363.99934700575892</v>
      </c>
      <c r="I21" s="71">
        <f t="shared" si="21"/>
        <v>1007.4671520993438</v>
      </c>
      <c r="J21" s="71">
        <f t="shared" si="21"/>
        <v>864.34804796180151</v>
      </c>
      <c r="K21" s="71">
        <f t="shared" si="21"/>
        <v>0</v>
      </c>
    </row>
    <row r="22" spans="1:12" s="43" customFormat="1" x14ac:dyDescent="0.25">
      <c r="A22" s="152">
        <f t="shared" si="15"/>
        <v>-6452.6606600707355</v>
      </c>
      <c r="B22" s="152">
        <f t="shared" si="16"/>
        <v>920.42956567279816</v>
      </c>
      <c r="C22" s="156">
        <f t="shared" si="18"/>
        <v>-587.96887807353403</v>
      </c>
      <c r="D22" s="156">
        <f t="shared" si="19"/>
        <v>533.62910923322465</v>
      </c>
      <c r="E22" s="47" t="s">
        <v>294</v>
      </c>
      <c r="F22" s="71">
        <f>F19+F20-F21</f>
        <v>240.1836096398327</v>
      </c>
      <c r="G22" s="71">
        <f t="shared" ref="G22:K22" si="22">G19+G20-G21</f>
        <v>544.89345606657412</v>
      </c>
      <c r="H22" s="71">
        <f t="shared" si="22"/>
        <v>522.36476239987519</v>
      </c>
      <c r="I22" s="71">
        <f t="shared" si="22"/>
        <v>920.42956567279816</v>
      </c>
      <c r="J22" s="71">
        <f t="shared" si="22"/>
        <v>696.97599785045145</v>
      </c>
      <c r="K22" s="71">
        <f t="shared" si="22"/>
        <v>-6452.6606600707355</v>
      </c>
    </row>
    <row r="23" spans="1:12" s="43" customFormat="1" x14ac:dyDescent="0.25">
      <c r="A23" s="152">
        <f t="shared" si="15"/>
        <v>4.9287827174819776E-2</v>
      </c>
      <c r="B23" s="152">
        <f t="shared" si="16"/>
        <v>0.12754396930706385</v>
      </c>
      <c r="C23" s="156">
        <f t="shared" si="18"/>
        <v>9.2772340169483006E-2</v>
      </c>
      <c r="D23" s="156">
        <f t="shared" si="19"/>
        <v>0.10664766208357344</v>
      </c>
      <c r="E23" s="47" t="s">
        <v>295</v>
      </c>
      <c r="F23" s="71">
        <f>F27/F31</f>
        <v>0.12489531660893263</v>
      </c>
      <c r="G23" s="71">
        <f t="shared" ref="G23:J23" si="23">G27/G31</f>
        <v>0.12754396930706385</v>
      </c>
      <c r="H23" s="71">
        <f t="shared" si="23"/>
        <v>0.10664766208357344</v>
      </c>
      <c r="I23" s="71">
        <f t="shared" si="23"/>
        <v>4.9287827174819776E-2</v>
      </c>
      <c r="J23" s="71">
        <f t="shared" si="23"/>
        <v>5.5486925673025246E-2</v>
      </c>
      <c r="K23" s="162"/>
    </row>
    <row r="24" spans="1:12" s="43" customFormat="1" x14ac:dyDescent="0.25">
      <c r="A24" s="152">
        <f t="shared" si="15"/>
        <v>-1.9181682087526963E-2</v>
      </c>
      <c r="B24" s="152">
        <f t="shared" si="16"/>
        <v>0.22003948701296522</v>
      </c>
      <c r="C24" s="156">
        <f t="shared" si="18"/>
        <v>0.13892197999692013</v>
      </c>
      <c r="D24" s="156">
        <f t="shared" si="19"/>
        <v>0.15836247963064459</v>
      </c>
      <c r="E24" s="121" t="s">
        <v>369</v>
      </c>
      <c r="F24" s="71">
        <f>F27/F32</f>
        <v>0.21789596177578821</v>
      </c>
      <c r="G24" s="71">
        <f t="shared" ref="G24:K24" si="24">G27/G32</f>
        <v>0.22003948701296522</v>
      </c>
      <c r="H24" s="71">
        <f t="shared" si="24"/>
        <v>0.20506832846361975</v>
      </c>
      <c r="I24" s="71">
        <f t="shared" si="24"/>
        <v>9.8053154019005065E-2</v>
      </c>
      <c r="J24" s="71">
        <f t="shared" si="24"/>
        <v>0.11165663079766941</v>
      </c>
      <c r="K24" s="71">
        <f t="shared" si="24"/>
        <v>-1.9181682087526963E-2</v>
      </c>
    </row>
    <row r="25" spans="1:12" s="43" customFormat="1" ht="13.8" thickBot="1" x14ac:dyDescent="0.3">
      <c r="A25" s="152">
        <f t="shared" si="15"/>
        <v>-3.9587699865030232E-2</v>
      </c>
      <c r="B25" s="152">
        <f t="shared" si="16"/>
        <v>0.30341696845417127</v>
      </c>
      <c r="C25" s="156">
        <f t="shared" si="18"/>
        <v>0.16467767086986093</v>
      </c>
      <c r="D25" s="156">
        <f t="shared" si="19"/>
        <v>0.16625469349300298</v>
      </c>
      <c r="E25" s="49" t="s">
        <v>296</v>
      </c>
      <c r="F25" s="73">
        <f>F27/F33</f>
        <v>0.29262361658856301</v>
      </c>
      <c r="G25" s="73">
        <f t="shared" ref="G25:K25" si="25">G27/G33</f>
        <v>0.30341696845417127</v>
      </c>
      <c r="H25" s="73">
        <f t="shared" si="25"/>
        <v>0.22221001546139976</v>
      </c>
      <c r="I25" s="73">
        <f t="shared" si="25"/>
        <v>9.9103753055455351E-2</v>
      </c>
      <c r="J25" s="73">
        <f t="shared" si="25"/>
        <v>0.11029937152460623</v>
      </c>
      <c r="K25" s="73">
        <f t="shared" si="25"/>
        <v>-3.9587699865030232E-2</v>
      </c>
    </row>
    <row r="26" spans="1:12" s="43" customFormat="1" x14ac:dyDescent="0.25">
      <c r="C26" s="155"/>
      <c r="D26" s="156"/>
    </row>
    <row r="27" spans="1:12" s="43" customFormat="1" x14ac:dyDescent="0.25">
      <c r="C27" s="79"/>
      <c r="D27" s="79"/>
      <c r="E27" s="43" t="s">
        <v>304</v>
      </c>
      <c r="F27" s="139">
        <f>F113-F116</f>
        <v>2314377.9399999995</v>
      </c>
      <c r="G27" s="139">
        <f t="shared" ref="G27:K27" si="26">G113-G116</f>
        <v>2274989.2200000007</v>
      </c>
      <c r="H27" s="139">
        <f t="shared" si="26"/>
        <v>2073984.5999999996</v>
      </c>
      <c r="I27" s="139">
        <f t="shared" si="26"/>
        <v>1000308.9800000004</v>
      </c>
      <c r="J27" s="139">
        <f t="shared" si="26"/>
        <v>1065005.0300000003</v>
      </c>
      <c r="K27" s="139">
        <f t="shared" si="26"/>
        <v>-323233.54999999888</v>
      </c>
      <c r="L27" s="43" t="s">
        <v>375</v>
      </c>
    </row>
    <row r="28" spans="1:12" s="43" customFormat="1" x14ac:dyDescent="0.25">
      <c r="C28" s="79"/>
      <c r="D28" s="79"/>
      <c r="E28" s="43" t="s">
        <v>305</v>
      </c>
      <c r="F28" s="76">
        <f>F94</f>
        <v>2087211.31</v>
      </c>
      <c r="G28" s="76">
        <f t="shared" ref="G28:K28" si="27">G94</f>
        <v>3990493</v>
      </c>
      <c r="H28" s="76">
        <f t="shared" si="27"/>
        <v>4765020.26</v>
      </c>
      <c r="I28" s="76">
        <f t="shared" si="27"/>
        <v>5013307.62</v>
      </c>
      <c r="J28" s="76">
        <f t="shared" si="27"/>
        <v>4285432.45</v>
      </c>
      <c r="K28" s="76">
        <f t="shared" si="27"/>
        <v>5523732.0999999996</v>
      </c>
    </row>
    <row r="29" spans="1:12" s="43" customFormat="1" x14ac:dyDescent="0.25">
      <c r="C29" s="79"/>
      <c r="D29" s="79"/>
      <c r="E29" s="43" t="s">
        <v>306</v>
      </c>
      <c r="F29" s="76">
        <f>F93</f>
        <v>271433.2</v>
      </c>
      <c r="G29" s="76">
        <f t="shared" ref="G29:K29" si="28">G93</f>
        <v>271433.2</v>
      </c>
      <c r="H29" s="76">
        <f t="shared" si="28"/>
        <v>271433.2</v>
      </c>
      <c r="I29" s="76">
        <f t="shared" si="28"/>
        <v>270233.2</v>
      </c>
      <c r="J29" s="76">
        <f t="shared" si="28"/>
        <v>270233.2</v>
      </c>
      <c r="K29" s="76">
        <f t="shared" si="28"/>
        <v>190559.44</v>
      </c>
    </row>
    <row r="30" spans="1:12" s="43" customFormat="1" x14ac:dyDescent="0.25">
      <c r="C30" s="79"/>
      <c r="D30" s="79"/>
      <c r="E30" s="43" t="s">
        <v>307</v>
      </c>
      <c r="F30" s="76">
        <f>F108</f>
        <v>835697.53</v>
      </c>
      <c r="G30" s="76">
        <f t="shared" ref="G30:K30" si="29">G108</f>
        <v>865688.56</v>
      </c>
      <c r="H30" s="76">
        <f t="shared" si="29"/>
        <v>2068298.74</v>
      </c>
      <c r="I30" s="76">
        <f t="shared" si="29"/>
        <v>2761036.82</v>
      </c>
      <c r="J30" s="76">
        <f t="shared" si="29"/>
        <v>2522013.75</v>
      </c>
      <c r="K30" s="76">
        <f t="shared" si="29"/>
        <v>0</v>
      </c>
    </row>
    <row r="31" spans="1:12" s="43" customFormat="1" x14ac:dyDescent="0.25">
      <c r="C31" s="79"/>
      <c r="D31" s="79"/>
      <c r="E31" s="43" t="s">
        <v>303</v>
      </c>
      <c r="F31" s="76">
        <f>F98</f>
        <v>18530542.239999998</v>
      </c>
      <c r="G31" s="76">
        <f t="shared" ref="G31:K31" si="30">G98</f>
        <v>17836901.52</v>
      </c>
      <c r="H31" s="76">
        <f t="shared" si="30"/>
        <v>19447070.469999999</v>
      </c>
      <c r="I31" s="76">
        <f t="shared" si="30"/>
        <v>20295254.170000002</v>
      </c>
      <c r="J31" s="76">
        <f t="shared" si="30"/>
        <v>19193801.370000001</v>
      </c>
      <c r="K31" s="76">
        <f t="shared" si="30"/>
        <v>0</v>
      </c>
    </row>
    <row r="32" spans="1:12" s="43" customFormat="1" x14ac:dyDescent="0.25">
      <c r="C32" s="79"/>
      <c r="D32" s="79"/>
      <c r="E32" s="43" t="s">
        <v>308</v>
      </c>
      <c r="F32" s="76">
        <f>F86</f>
        <v>10621481.560000001</v>
      </c>
      <c r="G32" s="76">
        <f t="shared" ref="G32:K32" si="31">G86</f>
        <v>10339004.380000001</v>
      </c>
      <c r="H32" s="76">
        <f t="shared" si="31"/>
        <v>10113627.08</v>
      </c>
      <c r="I32" s="76">
        <f t="shared" si="31"/>
        <v>10201701.210000001</v>
      </c>
      <c r="J32" s="76">
        <f t="shared" si="31"/>
        <v>9538215.7100000009</v>
      </c>
      <c r="K32" s="76">
        <f t="shared" si="31"/>
        <v>16851157.710000001</v>
      </c>
    </row>
    <row r="33" spans="1:11" s="43" customFormat="1" x14ac:dyDescent="0.25">
      <c r="C33" s="79"/>
      <c r="D33" s="79"/>
      <c r="E33" s="43" t="s">
        <v>309</v>
      </c>
      <c r="F33" s="76">
        <f>F92</f>
        <v>7909060.6799999997</v>
      </c>
      <c r="G33" s="76">
        <f t="shared" ref="G33:K33" si="32">G92</f>
        <v>7497897.1399999997</v>
      </c>
      <c r="H33" s="76">
        <f t="shared" si="32"/>
        <v>9333443.3900000006</v>
      </c>
      <c r="I33" s="76">
        <f t="shared" si="32"/>
        <v>10093552.960000001</v>
      </c>
      <c r="J33" s="76">
        <f t="shared" si="32"/>
        <v>9655585.6600000001</v>
      </c>
      <c r="K33" s="76">
        <f t="shared" si="32"/>
        <v>8164999.5099999998</v>
      </c>
    </row>
    <row r="34" spans="1:11" s="43" customFormat="1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5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5">
      <c r="A37" s="139">
        <f t="shared" ref="A37:A41" si="33">MIN(F37:K37)</f>
        <v>4.5098385097229625E-2</v>
      </c>
      <c r="B37" s="139">
        <f t="shared" ref="B37:B41" si="34">MAX(F37:K37)</f>
        <v>0.13604347089583652</v>
      </c>
      <c r="C37" s="160">
        <f t="shared" ref="C37:C40" si="35">AVERAGE(F37:K37)</f>
        <v>9.3485603721771948E-2</v>
      </c>
      <c r="D37" s="160">
        <f t="shared" ref="D37:D40" si="36">MEDIAN(F37:K37)</f>
        <v>0.10635528591263443</v>
      </c>
      <c r="E37" s="126" t="s">
        <v>370</v>
      </c>
      <c r="F37" s="131">
        <f>F43/F44*100%</f>
        <v>4.5098385097229625E-2</v>
      </c>
      <c r="G37" s="124">
        <f t="shared" ref="G37:J37" si="37">G43/G44*100%</f>
        <v>4.8533572887047037E-2</v>
      </c>
      <c r="H37" s="124">
        <f t="shared" si="37"/>
        <v>0.10635528591263443</v>
      </c>
      <c r="I37" s="124">
        <f t="shared" si="37"/>
        <v>0.13604347089583652</v>
      </c>
      <c r="J37" s="124">
        <f t="shared" si="37"/>
        <v>0.13139730381611217</v>
      </c>
      <c r="K37" s="170"/>
    </row>
    <row r="38" spans="1:11" s="43" customFormat="1" x14ac:dyDescent="0.25">
      <c r="A38" s="139">
        <f t="shared" si="33"/>
        <v>9.077320540761033E-2</v>
      </c>
      <c r="B38" s="139">
        <f t="shared" si="34"/>
        <v>0.64360273053579298</v>
      </c>
      <c r="C38" s="155">
        <f t="shared" si="35"/>
        <v>0.35469723022378885</v>
      </c>
      <c r="D38" s="156">
        <f t="shared" si="36"/>
        <v>0.34860250600740511</v>
      </c>
      <c r="E38" s="127" t="s">
        <v>298</v>
      </c>
      <c r="F38" s="133">
        <f>F43/F45</f>
        <v>9.077320540761033E-2</v>
      </c>
      <c r="G38" s="122">
        <f t="shared" ref="G38:J38" si="38">G43/G45</f>
        <v>0.10466907630792069</v>
      </c>
      <c r="H38" s="122">
        <f t="shared" si="38"/>
        <v>0.34860250600740511</v>
      </c>
      <c r="I38" s="122">
        <f t="shared" si="38"/>
        <v>0.5858386328602152</v>
      </c>
      <c r="J38" s="122">
        <f t="shared" si="38"/>
        <v>0.64360273053579298</v>
      </c>
      <c r="K38" s="179"/>
    </row>
    <row r="39" spans="1:11" s="43" customFormat="1" x14ac:dyDescent="0.25">
      <c r="A39" s="139">
        <f t="shared" si="33"/>
        <v>2.012781726261557</v>
      </c>
      <c r="B39" s="139">
        <f t="shared" si="34"/>
        <v>4.8981425938275098</v>
      </c>
      <c r="C39" s="155">
        <f t="shared" si="35"/>
        <v>3.330306815135458</v>
      </c>
      <c r="D39" s="156">
        <f t="shared" si="36"/>
        <v>3.277716786862523</v>
      </c>
      <c r="E39" s="127" t="s">
        <v>299</v>
      </c>
      <c r="F39" s="133">
        <f>F44/F45</f>
        <v>2.012781726261557</v>
      </c>
      <c r="G39" s="122">
        <f t="shared" ref="G39:J39" si="39">G44/G45</f>
        <v>2.1566324109605266</v>
      </c>
      <c r="H39" s="122">
        <f t="shared" si="39"/>
        <v>3.277716786862523</v>
      </c>
      <c r="I39" s="122">
        <f t="shared" si="39"/>
        <v>4.3062605577651745</v>
      </c>
      <c r="J39" s="122">
        <f t="shared" si="39"/>
        <v>4.8981425938275098</v>
      </c>
      <c r="K39" s="179"/>
    </row>
    <row r="40" spans="1:11" s="43" customFormat="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70"/>
    </row>
    <row r="41" spans="1:11" s="43" customFormat="1" ht="13.8" thickBot="1" x14ac:dyDescent="0.3">
      <c r="A41" s="139">
        <f t="shared" si="33"/>
        <v>0</v>
      </c>
      <c r="B41" s="139">
        <f t="shared" si="34"/>
        <v>0</v>
      </c>
      <c r="C41" s="155" t="s">
        <v>392</v>
      </c>
      <c r="D41" s="156" t="s">
        <v>393</v>
      </c>
      <c r="E41" s="129" t="s">
        <v>300</v>
      </c>
      <c r="F41" s="172"/>
      <c r="G41" s="171"/>
      <c r="H41" s="171"/>
      <c r="I41" s="171"/>
      <c r="J41" s="171"/>
      <c r="K41" s="167"/>
    </row>
    <row r="42" spans="1:11" s="43" customFormat="1" x14ac:dyDescent="0.25">
      <c r="C42" s="79"/>
      <c r="D42" s="79"/>
    </row>
    <row r="43" spans="1:11" s="43" customFormat="1" x14ac:dyDescent="0.25">
      <c r="C43" s="79"/>
      <c r="D43" s="79"/>
      <c r="E43" s="43" t="s">
        <v>318</v>
      </c>
      <c r="F43" s="76">
        <f>F107+F108</f>
        <v>835697.53</v>
      </c>
      <c r="G43" s="76">
        <f t="shared" ref="G43:K43" si="41">G107+G108</f>
        <v>865688.56</v>
      </c>
      <c r="H43" s="76">
        <f t="shared" si="41"/>
        <v>2068298.74</v>
      </c>
      <c r="I43" s="76">
        <f t="shared" si="41"/>
        <v>2761036.82</v>
      </c>
      <c r="J43" s="76">
        <f t="shared" si="41"/>
        <v>2522013.75</v>
      </c>
      <c r="K43" s="76">
        <f t="shared" si="41"/>
        <v>0</v>
      </c>
    </row>
    <row r="44" spans="1:11" s="43" customFormat="1" x14ac:dyDescent="0.25">
      <c r="C44" s="79"/>
      <c r="D44" s="79"/>
      <c r="E44" s="43" t="s">
        <v>303</v>
      </c>
      <c r="F44" s="76">
        <f>F98</f>
        <v>18530542.239999998</v>
      </c>
      <c r="G44" s="76">
        <f t="shared" ref="G44:K44" si="42">G98</f>
        <v>17836901.52</v>
      </c>
      <c r="H44" s="76">
        <f t="shared" si="42"/>
        <v>19447070.469999999</v>
      </c>
      <c r="I44" s="76">
        <f t="shared" si="42"/>
        <v>20295254.170000002</v>
      </c>
      <c r="J44" s="76">
        <f t="shared" si="42"/>
        <v>19193801.370000001</v>
      </c>
      <c r="K44" s="76">
        <f t="shared" si="42"/>
        <v>0</v>
      </c>
    </row>
    <row r="45" spans="1:11" s="43" customFormat="1" x14ac:dyDescent="0.25">
      <c r="C45" s="79"/>
      <c r="D45" s="79"/>
      <c r="E45" s="43" t="s">
        <v>311</v>
      </c>
      <c r="F45" s="76">
        <f>F100</f>
        <v>9206434.0600000005</v>
      </c>
      <c r="G45" s="76">
        <f t="shared" ref="G45:K45" si="43">G100</f>
        <v>8270719.4000000004</v>
      </c>
      <c r="H45" s="76">
        <f t="shared" si="43"/>
        <v>5933114.9500000002</v>
      </c>
      <c r="I45" s="76">
        <f t="shared" si="43"/>
        <v>4712964.74</v>
      </c>
      <c r="J45" s="76">
        <f t="shared" si="43"/>
        <v>3918587.71</v>
      </c>
      <c r="K45" s="76">
        <f t="shared" si="43"/>
        <v>0</v>
      </c>
    </row>
    <row r="46" spans="1:11" s="43" customFormat="1" x14ac:dyDescent="0.25">
      <c r="C46" s="79"/>
      <c r="D46" s="79"/>
      <c r="E46" s="43" t="s">
        <v>312</v>
      </c>
      <c r="F46" s="76">
        <f>F107</f>
        <v>0</v>
      </c>
      <c r="G46" s="76">
        <f t="shared" ref="G46:K46" si="44">G107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s="43" customFormat="1" x14ac:dyDescent="0.25">
      <c r="C47" s="79"/>
      <c r="D47" s="79"/>
      <c r="E47" s="43" t="s">
        <v>313</v>
      </c>
      <c r="F47" s="139">
        <f>F153</f>
        <v>935714.66</v>
      </c>
      <c r="G47" s="139">
        <f t="shared" ref="G47:K47" si="45">G153</f>
        <v>2337604.4500000002</v>
      </c>
      <c r="H47" s="139">
        <f t="shared" si="45"/>
        <v>1217596.75</v>
      </c>
      <c r="I47" s="139">
        <f t="shared" si="45"/>
        <v>792925.5</v>
      </c>
      <c r="J47" s="139">
        <f t="shared" si="45"/>
        <v>-149372.03</v>
      </c>
      <c r="K47" s="139">
        <f t="shared" si="45"/>
        <v>614184.95999999996</v>
      </c>
    </row>
    <row r="48" spans="1:11" s="43" customFormat="1" x14ac:dyDescent="0.25">
      <c r="C48" s="79"/>
      <c r="D48" s="79"/>
      <c r="E48" s="43" t="s">
        <v>314</v>
      </c>
      <c r="F48" s="76">
        <f>F149</f>
        <v>0</v>
      </c>
      <c r="G48" s="76">
        <f t="shared" ref="G48:K48" si="46">G149</f>
        <v>0</v>
      </c>
      <c r="H48" s="76">
        <f t="shared" si="46"/>
        <v>0</v>
      </c>
      <c r="I48" s="76">
        <f t="shared" si="46"/>
        <v>0</v>
      </c>
      <c r="J48" s="76">
        <f t="shared" si="46"/>
        <v>0</v>
      </c>
      <c r="K48" s="76">
        <f t="shared" si="46"/>
        <v>0</v>
      </c>
    </row>
    <row r="49" spans="1:11" s="43" customFormat="1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x14ac:dyDescent="0.25">
      <c r="A52" s="139">
        <f t="shared" ref="A52:A63" si="47">MIN(F52:K52)</f>
        <v>5.1792427175915375E-2</v>
      </c>
      <c r="B52" s="139">
        <f t="shared" ref="B52:B63" si="48">MAX(F52:K52)</f>
        <v>0.69657955461942789</v>
      </c>
      <c r="C52" s="160">
        <f t="shared" ref="C52:C63" si="49">AVERAGE(F52:K52)</f>
        <v>0.43656631025249437</v>
      </c>
      <c r="D52" s="160">
        <f t="shared" ref="D52:D63" si="50">MEDIAN(F52:K52)</f>
        <v>0.51174966797306209</v>
      </c>
      <c r="E52" s="50" t="s">
        <v>350</v>
      </c>
      <c r="F52" s="119">
        <f t="shared" ref="F52:K52" si="51">(F65/(F70+F71))*100%</f>
        <v>0.2274858419124835</v>
      </c>
      <c r="G52" s="119">
        <f t="shared" si="51"/>
        <v>0.62004070186101534</v>
      </c>
      <c r="H52" s="119">
        <f t="shared" si="51"/>
        <v>0.44849605282145749</v>
      </c>
      <c r="I52" s="119">
        <f t="shared" si="51"/>
        <v>0.69657955461942789</v>
      </c>
      <c r="J52" s="119">
        <f t="shared" si="51"/>
        <v>5.1792427175915375E-2</v>
      </c>
      <c r="K52" s="120">
        <f t="shared" si="51"/>
        <v>0.57500328312466675</v>
      </c>
    </row>
    <row r="53" spans="1:11" s="43" customFormat="1" x14ac:dyDescent="0.25">
      <c r="A53" s="139">
        <f t="shared" si="47"/>
        <v>-0.3136718715201382</v>
      </c>
      <c r="B53" s="139">
        <f t="shared" si="48"/>
        <v>1.0000000000000004</v>
      </c>
      <c r="C53" s="160">
        <f t="shared" si="49"/>
        <v>0.78105468807997702</v>
      </c>
      <c r="D53" s="160">
        <f t="shared" si="50"/>
        <v>1</v>
      </c>
      <c r="E53" s="50" t="s">
        <v>351</v>
      </c>
      <c r="F53" s="119">
        <f>(F66/F70)*100%</f>
        <v>0.99999999999999978</v>
      </c>
      <c r="G53" s="119">
        <f t="shared" ref="G53:K53" si="52">(G66/G70)*100%</f>
        <v>1.0000000000000002</v>
      </c>
      <c r="H53" s="119">
        <f t="shared" si="52"/>
        <v>0.99999999999999978</v>
      </c>
      <c r="I53" s="119">
        <f t="shared" si="52"/>
        <v>1.0000000000000004</v>
      </c>
      <c r="J53" s="119">
        <f t="shared" si="52"/>
        <v>1.0000000000000002</v>
      </c>
      <c r="K53" s="120">
        <f t="shared" si="52"/>
        <v>-0.3136718715201382</v>
      </c>
    </row>
    <row r="54" spans="1:11" s="43" customFormat="1" x14ac:dyDescent="0.25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s="43" customFormat="1" x14ac:dyDescent="0.25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x14ac:dyDescent="0.25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x14ac:dyDescent="0.25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x14ac:dyDescent="0.25">
      <c r="A58" s="139">
        <f t="shared" si="47"/>
        <v>-0.12151711894400431</v>
      </c>
      <c r="B58" s="139">
        <f t="shared" si="48"/>
        <v>0.61873126060110883</v>
      </c>
      <c r="C58" s="155">
        <f t="shared" si="49"/>
        <v>0.39132403213139505</v>
      </c>
      <c r="D58" s="156">
        <f t="shared" si="50"/>
        <v>0.50527490683538268</v>
      </c>
      <c r="E58" s="50" t="s">
        <v>356</v>
      </c>
      <c r="F58" s="71">
        <f>F68/(F70+F71+F72+F73+F74+F75)</f>
        <v>0.23901580814599499</v>
      </c>
      <c r="G58" s="71">
        <f t="shared" ref="G58:K58" si="53">G68/(G70+G71+G72+G73+G74)</f>
        <v>0.60116442931450553</v>
      </c>
      <c r="H58" s="71">
        <f t="shared" si="53"/>
        <v>0.48202722872036108</v>
      </c>
      <c r="I58" s="71">
        <f t="shared" si="53"/>
        <v>0.61873126060110883</v>
      </c>
      <c r="J58" s="71">
        <f t="shared" si="53"/>
        <v>-0.12151711894400431</v>
      </c>
      <c r="K58" s="72">
        <f t="shared" si="53"/>
        <v>0.52852258495040427</v>
      </c>
    </row>
    <row r="59" spans="1:11" s="43" customFormat="1" x14ac:dyDescent="0.25">
      <c r="A59" s="139">
        <f t="shared" si="47"/>
        <v>-0.10667099952945996</v>
      </c>
      <c r="B59" s="139">
        <f t="shared" si="48"/>
        <v>0.60339419436110531</v>
      </c>
      <c r="C59" s="155">
        <f t="shared" si="49"/>
        <v>0.38357401091225302</v>
      </c>
      <c r="D59" s="156">
        <f t="shared" si="50"/>
        <v>0.48384161108190687</v>
      </c>
      <c r="E59" s="50" t="s">
        <v>361</v>
      </c>
      <c r="F59" s="71">
        <f>F69/(F70+F71+F72+F73+F74+F75)</f>
        <v>0.23901580814599499</v>
      </c>
      <c r="G59" s="71">
        <f t="shared" ref="G59:K59" si="54">G69/(G70+G71+G72+G73+G74+G75)</f>
        <v>0.5980218403320644</v>
      </c>
      <c r="H59" s="71">
        <f t="shared" si="54"/>
        <v>0.4392502146211642</v>
      </c>
      <c r="I59" s="71">
        <f t="shared" si="54"/>
        <v>0.60339419436110531</v>
      </c>
      <c r="J59" s="71">
        <f t="shared" si="54"/>
        <v>-0.10667099952945996</v>
      </c>
      <c r="K59" s="72">
        <f t="shared" si="54"/>
        <v>0.52843300754264955</v>
      </c>
    </row>
    <row r="60" spans="1:11" s="43" customFormat="1" ht="26.4" x14ac:dyDescent="0.25">
      <c r="A60" s="139">
        <f t="shared" si="47"/>
        <v>3.3169359613936652E-3</v>
      </c>
      <c r="B60" s="139">
        <f t="shared" si="48"/>
        <v>0.13516944617856477</v>
      </c>
      <c r="C60" s="160">
        <f t="shared" si="49"/>
        <v>5.7451055805049521E-2</v>
      </c>
      <c r="D60" s="160">
        <f t="shared" si="50"/>
        <v>4.6528277415372604E-2</v>
      </c>
      <c r="E60" s="50" t="s">
        <v>372</v>
      </c>
      <c r="F60" s="119">
        <f>F65/F79*100%</f>
        <v>4.6528277415372604E-2</v>
      </c>
      <c r="G60" s="119">
        <f t="shared" ref="G60:J60" si="55">G65/G79*100%</f>
        <v>0.13516944617856477</v>
      </c>
      <c r="H60" s="119">
        <f t="shared" si="55"/>
        <v>5.8255421131304212E-2</v>
      </c>
      <c r="I60" s="119">
        <f t="shared" si="55"/>
        <v>4.3985198338612377E-2</v>
      </c>
      <c r="J60" s="119">
        <f t="shared" si="55"/>
        <v>3.3169359613936652E-3</v>
      </c>
      <c r="K60" s="178"/>
    </row>
    <row r="61" spans="1:11" s="43" customFormat="1" x14ac:dyDescent="0.25">
      <c r="A61" s="139">
        <f t="shared" si="47"/>
        <v>-7.782305710085609E-3</v>
      </c>
      <c r="B61" s="139">
        <f t="shared" si="48"/>
        <v>0.13105440131397891</v>
      </c>
      <c r="C61" s="155">
        <f t="shared" si="49"/>
        <v>5.5089642051523349E-2</v>
      </c>
      <c r="D61" s="156">
        <f t="shared" si="50"/>
        <v>5.0495805674815486E-2</v>
      </c>
      <c r="E61" s="50" t="s">
        <v>373</v>
      </c>
      <c r="F61" s="71">
        <f>F69/F79</f>
        <v>5.0495805674815486E-2</v>
      </c>
      <c r="G61" s="71">
        <f t="shared" ref="G61:J61" si="56">G69/G79</f>
        <v>0.13105440131397891</v>
      </c>
      <c r="H61" s="71">
        <f t="shared" si="56"/>
        <v>6.2610805667533534E-2</v>
      </c>
      <c r="I61" s="71">
        <f t="shared" si="56"/>
        <v>3.906950331137439E-2</v>
      </c>
      <c r="J61" s="71">
        <f t="shared" si="56"/>
        <v>-7.782305710085609E-3</v>
      </c>
      <c r="K61" s="164"/>
    </row>
    <row r="62" spans="1:11" s="43" customFormat="1" x14ac:dyDescent="0.25">
      <c r="A62" s="139">
        <f t="shared" si="47"/>
        <v>0.10163703491512326</v>
      </c>
      <c r="B62" s="139">
        <f t="shared" si="48"/>
        <v>0.34956083229097046</v>
      </c>
      <c r="C62" s="155">
        <f t="shared" si="49"/>
        <v>0.24205848508334427</v>
      </c>
      <c r="D62" s="156">
        <f t="shared" si="50"/>
        <v>0.27178287403958612</v>
      </c>
      <c r="E62" s="50" t="s">
        <v>374</v>
      </c>
      <c r="F62" s="71">
        <f>F69/F80</f>
        <v>0.10163703491512326</v>
      </c>
      <c r="G62" s="71">
        <f>G66/G80</f>
        <v>0.27506545803016852</v>
      </c>
      <c r="H62" s="71">
        <f>H66/H80</f>
        <v>0.34956083229097046</v>
      </c>
      <c r="I62" s="71">
        <f>I66/I80</f>
        <v>0.21224622614087293</v>
      </c>
      <c r="J62" s="71">
        <f>J66/J80</f>
        <v>0.27178287403958612</v>
      </c>
      <c r="K62" s="164"/>
    </row>
    <row r="63" spans="1:11" s="43" customFormat="1" ht="13.8" thickBot="1" x14ac:dyDescent="0.3">
      <c r="A63" s="139">
        <f t="shared" si="47"/>
        <v>1.624682531350051E-2</v>
      </c>
      <c r="B63" s="139">
        <f t="shared" si="48"/>
        <v>0.29151080860027728</v>
      </c>
      <c r="C63" s="155">
        <f t="shared" si="49"/>
        <v>0.15635307938974691</v>
      </c>
      <c r="D63" s="156">
        <f t="shared" si="50"/>
        <v>0.18941172473104478</v>
      </c>
      <c r="E63" s="51" t="s">
        <v>302</v>
      </c>
      <c r="F63" s="73">
        <f t="shared" ref="F63:J63" si="57">F65/(F80+F81)</f>
        <v>9.3651266536090294E-2</v>
      </c>
      <c r="G63" s="73">
        <f t="shared" si="57"/>
        <v>0.29151080860027728</v>
      </c>
      <c r="H63" s="73">
        <f t="shared" si="57"/>
        <v>0.19094477176782154</v>
      </c>
      <c r="I63" s="73">
        <f t="shared" si="57"/>
        <v>0.18941172473104478</v>
      </c>
      <c r="J63" s="73">
        <f t="shared" si="57"/>
        <v>1.624682531350051E-2</v>
      </c>
      <c r="K63" s="166"/>
    </row>
    <row r="64" spans="1:11" s="43" customFormat="1" x14ac:dyDescent="0.25">
      <c r="C64" s="79"/>
      <c r="D64" s="79"/>
    </row>
    <row r="65" spans="3:12" s="43" customFormat="1" x14ac:dyDescent="0.25">
      <c r="C65" s="79"/>
      <c r="D65" s="79"/>
      <c r="E65" s="52" t="s">
        <v>360</v>
      </c>
      <c r="F65" s="76">
        <f>F139</f>
        <v>862194.21</v>
      </c>
      <c r="G65" s="76">
        <f t="shared" ref="G65:K65" si="58">G139</f>
        <v>2411004.1</v>
      </c>
      <c r="H65" s="76">
        <f t="shared" si="58"/>
        <v>1132897.28</v>
      </c>
      <c r="I65" s="76">
        <f t="shared" si="58"/>
        <v>892690.78</v>
      </c>
      <c r="J65" s="76">
        <f t="shared" si="58"/>
        <v>63664.61</v>
      </c>
      <c r="K65" s="76">
        <f t="shared" si="58"/>
        <v>668199.19999999995</v>
      </c>
    </row>
    <row r="66" spans="3:12" s="43" customFormat="1" ht="26.4" x14ac:dyDescent="0.25">
      <c r="C66" s="79"/>
      <c r="D66" s="79"/>
      <c r="E66" s="52" t="s">
        <v>352</v>
      </c>
      <c r="F66" s="76">
        <f>F113-F116</f>
        <v>2314377.9399999995</v>
      </c>
      <c r="G66" s="76">
        <f t="shared" ref="G66:K66" si="59">G113-G116</f>
        <v>2274989.2200000007</v>
      </c>
      <c r="H66" s="76">
        <f t="shared" si="59"/>
        <v>2073984.5999999996</v>
      </c>
      <c r="I66" s="76">
        <f t="shared" si="59"/>
        <v>1000308.9800000004</v>
      </c>
      <c r="J66" s="76">
        <f t="shared" si="59"/>
        <v>1065005.0300000003</v>
      </c>
      <c r="K66" s="76">
        <f t="shared" si="59"/>
        <v>-323233.54999999888</v>
      </c>
    </row>
    <row r="67" spans="3:12" s="43" customFormat="1" x14ac:dyDescent="0.25">
      <c r="C67" s="79"/>
      <c r="D67" s="79"/>
      <c r="E67" s="43" t="s">
        <v>345</v>
      </c>
      <c r="F67" s="76"/>
      <c r="G67" s="76"/>
      <c r="H67" s="76"/>
      <c r="I67" s="76"/>
      <c r="J67" s="76"/>
      <c r="K67" s="76"/>
      <c r="L67" s="43" t="s">
        <v>377</v>
      </c>
    </row>
    <row r="68" spans="3:12" s="43" customFormat="1" x14ac:dyDescent="0.25">
      <c r="C68" s="79"/>
      <c r="D68" s="79"/>
      <c r="E68" s="43" t="s">
        <v>341</v>
      </c>
      <c r="F68" s="76">
        <f>F153</f>
        <v>935714.66</v>
      </c>
      <c r="G68" s="76">
        <f t="shared" ref="G68:K68" si="60">G153</f>
        <v>2337604.4500000002</v>
      </c>
      <c r="H68" s="76">
        <f t="shared" si="60"/>
        <v>1217596.75</v>
      </c>
      <c r="I68" s="76">
        <f t="shared" si="60"/>
        <v>792925.5</v>
      </c>
      <c r="J68" s="76">
        <f t="shared" si="60"/>
        <v>-149372.03</v>
      </c>
      <c r="K68" s="76">
        <f t="shared" si="60"/>
        <v>614184.95999999996</v>
      </c>
    </row>
    <row r="69" spans="3:12" s="43" customFormat="1" x14ac:dyDescent="0.25">
      <c r="C69" s="79"/>
      <c r="D69" s="79"/>
      <c r="E69" s="43" t="s">
        <v>315</v>
      </c>
      <c r="F69" s="76">
        <f>F156</f>
        <v>935714.66</v>
      </c>
      <c r="G69" s="76">
        <f t="shared" ref="G69:K69" si="61">G156</f>
        <v>2337604.4500000002</v>
      </c>
      <c r="H69" s="76">
        <f t="shared" si="61"/>
        <v>1217596.75</v>
      </c>
      <c r="I69" s="76">
        <f t="shared" si="61"/>
        <v>792925.5</v>
      </c>
      <c r="J69" s="76">
        <f t="shared" si="61"/>
        <v>-149372.03</v>
      </c>
      <c r="K69" s="76">
        <f t="shared" si="61"/>
        <v>614184.95999999996</v>
      </c>
    </row>
    <row r="70" spans="3:12" s="43" customFormat="1" x14ac:dyDescent="0.25">
      <c r="C70" s="79"/>
      <c r="D70" s="79"/>
      <c r="E70" s="43" t="s">
        <v>358</v>
      </c>
      <c r="F70" s="76">
        <f>F115</f>
        <v>2314377.94</v>
      </c>
      <c r="G70" s="76">
        <f t="shared" ref="G70:K70" si="62">G115</f>
        <v>2274989.2200000002</v>
      </c>
      <c r="H70" s="76">
        <f t="shared" si="62"/>
        <v>2073984.6</v>
      </c>
      <c r="I70" s="76">
        <f t="shared" si="62"/>
        <v>1000308.98</v>
      </c>
      <c r="J70" s="76">
        <f t="shared" si="62"/>
        <v>1065005.03</v>
      </c>
      <c r="K70" s="76">
        <f t="shared" si="62"/>
        <v>1030483.06</v>
      </c>
    </row>
    <row r="71" spans="3:12" s="43" customFormat="1" x14ac:dyDescent="0.25">
      <c r="C71" s="79"/>
      <c r="D71" s="79"/>
      <c r="E71" s="43" t="s">
        <v>359</v>
      </c>
      <c r="F71" s="76">
        <f>F124</f>
        <v>1475722.59</v>
      </c>
      <c r="G71" s="76">
        <f t="shared" ref="G71:K71" si="63">G124</f>
        <v>1613471.8</v>
      </c>
      <c r="H71" s="76">
        <f t="shared" si="63"/>
        <v>452007.04</v>
      </c>
      <c r="I71" s="76">
        <f t="shared" si="63"/>
        <v>281225.59000000003</v>
      </c>
      <c r="J71" s="76">
        <f t="shared" si="63"/>
        <v>164221.20000000001</v>
      </c>
      <c r="K71" s="76">
        <f t="shared" si="63"/>
        <v>131595.87</v>
      </c>
    </row>
    <row r="72" spans="3:12" s="43" customFormat="1" x14ac:dyDescent="0.25">
      <c r="C72" s="79"/>
      <c r="D72" s="79"/>
      <c r="E72" s="43" t="s">
        <v>347</v>
      </c>
      <c r="F72" s="76"/>
      <c r="G72" s="76"/>
      <c r="H72" s="76"/>
      <c r="I72" s="76"/>
      <c r="J72" s="76"/>
      <c r="K72" s="76"/>
      <c r="L72" s="43" t="s">
        <v>378</v>
      </c>
    </row>
    <row r="73" spans="3:12" s="43" customFormat="1" x14ac:dyDescent="0.25">
      <c r="C73" s="79"/>
      <c r="D73" s="79"/>
      <c r="E73" s="43" t="s">
        <v>348</v>
      </c>
      <c r="F73" s="76"/>
      <c r="G73" s="76"/>
      <c r="H73" s="76"/>
      <c r="I73" s="76"/>
      <c r="J73" s="76"/>
      <c r="K73" s="76"/>
      <c r="L73" s="43" t="s">
        <v>378</v>
      </c>
    </row>
    <row r="74" spans="3:12" s="43" customFormat="1" x14ac:dyDescent="0.25">
      <c r="C74" s="79"/>
      <c r="D74" s="79"/>
      <c r="E74" s="43" t="s">
        <v>349</v>
      </c>
      <c r="F74" s="76"/>
      <c r="G74" s="76"/>
      <c r="H74" s="76"/>
      <c r="I74" s="76"/>
      <c r="J74" s="76"/>
      <c r="K74" s="76"/>
      <c r="L74" s="43" t="s">
        <v>378</v>
      </c>
    </row>
    <row r="75" spans="3:12" s="43" customFormat="1" x14ac:dyDescent="0.25">
      <c r="C75" s="79"/>
      <c r="D75" s="79"/>
      <c r="E75" s="43" t="s">
        <v>357</v>
      </c>
      <c r="F75" s="76">
        <f>F140</f>
        <v>124764.63</v>
      </c>
      <c r="G75" s="76">
        <f t="shared" ref="G75:K75" si="64">G140</f>
        <v>20433.759999999998</v>
      </c>
      <c r="H75" s="76">
        <f t="shared" si="64"/>
        <v>245997.33</v>
      </c>
      <c r="I75" s="76">
        <f t="shared" si="64"/>
        <v>32574.03</v>
      </c>
      <c r="J75" s="76">
        <f t="shared" si="64"/>
        <v>171079.67</v>
      </c>
      <c r="K75" s="76">
        <f t="shared" si="64"/>
        <v>196.99</v>
      </c>
    </row>
    <row r="76" spans="3:12" s="43" customFormat="1" x14ac:dyDescent="0.25">
      <c r="C76" s="79"/>
      <c r="D76" s="79"/>
      <c r="E76" s="43" t="s">
        <v>353</v>
      </c>
      <c r="F76" s="76"/>
      <c r="G76" s="76"/>
      <c r="H76" s="76"/>
      <c r="I76" s="76"/>
      <c r="J76" s="76"/>
      <c r="K76" s="76"/>
      <c r="L76" s="43" t="s">
        <v>378</v>
      </c>
    </row>
    <row r="77" spans="3:12" s="43" customFormat="1" x14ac:dyDescent="0.25">
      <c r="C77" s="79"/>
      <c r="D77" s="79"/>
      <c r="E77" s="43" t="s">
        <v>354</v>
      </c>
      <c r="F77" s="76"/>
      <c r="G77" s="76"/>
      <c r="H77" s="76"/>
      <c r="I77" s="76"/>
      <c r="J77" s="76"/>
      <c r="K77" s="76"/>
      <c r="L77" s="43" t="s">
        <v>378</v>
      </c>
    </row>
    <row r="78" spans="3:12" s="43" customFormat="1" x14ac:dyDescent="0.25">
      <c r="C78" s="79"/>
      <c r="D78" s="79"/>
      <c r="E78" s="43" t="s">
        <v>355</v>
      </c>
      <c r="F78" s="76"/>
      <c r="G78" s="76"/>
      <c r="H78" s="76"/>
      <c r="I78" s="76"/>
      <c r="J78" s="76"/>
      <c r="K78" s="76"/>
      <c r="L78" s="43" t="s">
        <v>378</v>
      </c>
    </row>
    <row r="79" spans="3:12" s="43" customFormat="1" x14ac:dyDescent="0.25">
      <c r="C79" s="79"/>
      <c r="D79" s="79"/>
      <c r="E79" s="43" t="s">
        <v>316</v>
      </c>
      <c r="F79" s="76">
        <f>F98</f>
        <v>18530542.239999998</v>
      </c>
      <c r="G79" s="76">
        <f t="shared" ref="G79:K79" si="65">G98</f>
        <v>17836901.52</v>
      </c>
      <c r="H79" s="76">
        <f t="shared" si="65"/>
        <v>19447070.469999999</v>
      </c>
      <c r="I79" s="76">
        <f t="shared" si="65"/>
        <v>20295254.170000002</v>
      </c>
      <c r="J79" s="76">
        <f t="shared" si="65"/>
        <v>19193801.370000001</v>
      </c>
      <c r="K79" s="76">
        <f t="shared" si="65"/>
        <v>0</v>
      </c>
    </row>
    <row r="80" spans="3:12" s="43" customFormat="1" x14ac:dyDescent="0.25">
      <c r="C80" s="79"/>
      <c r="D80" s="79"/>
      <c r="E80" s="43" t="s">
        <v>311</v>
      </c>
      <c r="F80" s="76">
        <f>F100</f>
        <v>9206434.0600000005</v>
      </c>
      <c r="G80" s="76">
        <f t="shared" ref="G80:K80" si="66">G100</f>
        <v>8270719.4000000004</v>
      </c>
      <c r="H80" s="76">
        <f t="shared" si="66"/>
        <v>5933114.9500000002</v>
      </c>
      <c r="I80" s="76">
        <f t="shared" si="66"/>
        <v>4712964.74</v>
      </c>
      <c r="J80" s="76">
        <f t="shared" si="66"/>
        <v>3918587.71</v>
      </c>
      <c r="K80" s="76">
        <f t="shared" si="66"/>
        <v>0</v>
      </c>
    </row>
    <row r="81" spans="3:14" s="43" customFormat="1" x14ac:dyDescent="0.25">
      <c r="C81" s="79"/>
      <c r="D81" s="79"/>
      <c r="E81" s="43" t="s">
        <v>317</v>
      </c>
      <c r="F81" s="76">
        <f>F107</f>
        <v>0</v>
      </c>
      <c r="G81" s="76">
        <f t="shared" ref="G81:K81" si="67">G107</f>
        <v>0</v>
      </c>
      <c r="H81" s="76">
        <f t="shared" si="67"/>
        <v>0</v>
      </c>
      <c r="I81" s="76">
        <f t="shared" si="67"/>
        <v>0</v>
      </c>
      <c r="J81" s="76">
        <f t="shared" si="67"/>
        <v>0</v>
      </c>
      <c r="K81" s="76">
        <f t="shared" si="67"/>
        <v>0</v>
      </c>
    </row>
    <row r="82" spans="3:14" s="43" customFormat="1" x14ac:dyDescent="0.25">
      <c r="C82" s="79"/>
      <c r="D82" s="79"/>
    </row>
    <row r="84" spans="3:14" x14ac:dyDescent="0.25">
      <c r="E84" s="117" t="s">
        <v>340</v>
      </c>
    </row>
    <row r="85" spans="3:14" x14ac:dyDescent="0.25">
      <c r="E85" s="24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4" x14ac:dyDescent="0.25">
      <c r="E86" s="25" t="s">
        <v>26</v>
      </c>
      <c r="F86" s="90">
        <v>10621481.560000001</v>
      </c>
      <c r="G86" s="90">
        <v>10339004.380000001</v>
      </c>
      <c r="H86" s="90">
        <v>10113627.08</v>
      </c>
      <c r="I86" s="90">
        <v>10201701.210000001</v>
      </c>
      <c r="J86" s="90">
        <v>9538215.7100000009</v>
      </c>
      <c r="K86" s="90">
        <v>16851157.710000001</v>
      </c>
    </row>
    <row r="87" spans="3:14" ht="15" customHeight="1" x14ac:dyDescent="0.25">
      <c r="E87" s="26" t="s">
        <v>27</v>
      </c>
      <c r="F87" s="90"/>
      <c r="G87" s="90"/>
      <c r="H87" s="90"/>
      <c r="I87" s="90"/>
      <c r="J87" s="90"/>
      <c r="K87" s="90"/>
    </row>
    <row r="88" spans="3:14" ht="15" customHeight="1" x14ac:dyDescent="0.25">
      <c r="E88" s="26" t="s">
        <v>29</v>
      </c>
      <c r="F88" s="90">
        <v>10075981.560000001</v>
      </c>
      <c r="G88" s="90">
        <v>9793504.3800000008</v>
      </c>
      <c r="H88" s="90">
        <v>9568127.0800000001</v>
      </c>
      <c r="I88" s="90">
        <v>9656201.2100000009</v>
      </c>
      <c r="J88" s="90">
        <v>8992715.7100000009</v>
      </c>
      <c r="K88" s="90"/>
    </row>
    <row r="89" spans="3:14" ht="15" customHeight="1" x14ac:dyDescent="0.25">
      <c r="E89" s="26" t="s">
        <v>30</v>
      </c>
      <c r="F89" s="90"/>
      <c r="G89" s="90"/>
      <c r="H89" s="90"/>
      <c r="I89" s="90"/>
      <c r="J89" s="90"/>
      <c r="K89" s="90"/>
      <c r="L89" s="32" t="s">
        <v>95</v>
      </c>
      <c r="M89" s="32"/>
      <c r="N89" s="32"/>
    </row>
    <row r="90" spans="3:14" ht="15" customHeight="1" x14ac:dyDescent="0.25">
      <c r="E90" s="26" t="s">
        <v>31</v>
      </c>
      <c r="F90" s="90">
        <v>545500</v>
      </c>
      <c r="G90" s="90">
        <v>545500</v>
      </c>
      <c r="H90" s="90">
        <v>545500</v>
      </c>
      <c r="I90" s="90">
        <v>545500</v>
      </c>
      <c r="J90" s="90">
        <v>545500</v>
      </c>
      <c r="K90" s="90"/>
    </row>
    <row r="91" spans="3:14" ht="15" customHeight="1" x14ac:dyDescent="0.25">
      <c r="E91" s="26" t="s">
        <v>32</v>
      </c>
      <c r="F91" s="90"/>
      <c r="G91" s="90"/>
      <c r="H91" s="90"/>
      <c r="I91" s="90"/>
      <c r="J91" s="90"/>
      <c r="K91" s="90"/>
    </row>
    <row r="92" spans="3:14" x14ac:dyDescent="0.25">
      <c r="E92" s="25" t="s">
        <v>33</v>
      </c>
      <c r="F92" s="90">
        <v>7909060.6799999997</v>
      </c>
      <c r="G92" s="90">
        <v>7497897.1399999997</v>
      </c>
      <c r="H92" s="90">
        <v>9333443.3900000006</v>
      </c>
      <c r="I92" s="90">
        <v>10093552.960000001</v>
      </c>
      <c r="J92" s="90">
        <v>9655585.6600000001</v>
      </c>
      <c r="K92" s="90">
        <f>SUM(K93:K96)</f>
        <v>8164999.5099999998</v>
      </c>
    </row>
    <row r="93" spans="3:14" x14ac:dyDescent="0.25">
      <c r="E93" s="26" t="s">
        <v>34</v>
      </c>
      <c r="F93" s="90">
        <v>271433.2</v>
      </c>
      <c r="G93" s="90">
        <v>271433.2</v>
      </c>
      <c r="H93" s="90">
        <v>271433.2</v>
      </c>
      <c r="I93" s="90">
        <v>270233.2</v>
      </c>
      <c r="J93" s="90">
        <v>270233.2</v>
      </c>
      <c r="K93" s="90">
        <v>190559.44</v>
      </c>
    </row>
    <row r="94" spans="3:14" ht="15" customHeight="1" x14ac:dyDescent="0.25">
      <c r="E94" s="26" t="s">
        <v>35</v>
      </c>
      <c r="F94" s="90">
        <v>2087211.31</v>
      </c>
      <c r="G94" s="90">
        <v>3990493</v>
      </c>
      <c r="H94" s="90">
        <v>4765020.26</v>
      </c>
      <c r="I94" s="90">
        <v>5013307.62</v>
      </c>
      <c r="J94" s="90">
        <v>4285432.45</v>
      </c>
      <c r="K94" s="90">
        <v>5523732.0999999996</v>
      </c>
    </row>
    <row r="95" spans="3:14" ht="15" customHeight="1" x14ac:dyDescent="0.25">
      <c r="E95" s="26" t="s">
        <v>36</v>
      </c>
      <c r="F95" s="90">
        <v>5373011.0899999999</v>
      </c>
      <c r="G95" s="90">
        <v>3060727.4</v>
      </c>
      <c r="H95" s="90">
        <v>4143807.86</v>
      </c>
      <c r="I95" s="90">
        <v>4638875.29</v>
      </c>
      <c r="J95" s="90">
        <v>4886867.62</v>
      </c>
      <c r="K95" s="90">
        <v>2069991.18</v>
      </c>
    </row>
    <row r="96" spans="3:14" ht="15" customHeight="1" x14ac:dyDescent="0.25">
      <c r="E96" s="26" t="s">
        <v>37</v>
      </c>
      <c r="F96" s="90">
        <v>177405.08</v>
      </c>
      <c r="G96" s="90">
        <v>175243.54</v>
      </c>
      <c r="H96" s="90">
        <v>153182.07</v>
      </c>
      <c r="I96" s="90">
        <v>171136.85</v>
      </c>
      <c r="J96" s="90">
        <v>213052.39</v>
      </c>
      <c r="K96" s="90">
        <v>380716.79</v>
      </c>
    </row>
    <row r="97" spans="5:11" ht="15" customHeight="1" x14ac:dyDescent="0.25">
      <c r="E97" s="25" t="s">
        <v>38</v>
      </c>
      <c r="F97" s="90"/>
      <c r="G97" s="90"/>
      <c r="H97" s="90"/>
      <c r="I97" s="90"/>
      <c r="J97" s="90"/>
      <c r="K97" s="90"/>
    </row>
    <row r="98" spans="5:11" x14ac:dyDescent="0.25">
      <c r="E98" s="25" t="s">
        <v>39</v>
      </c>
      <c r="F98" s="90">
        <v>18530542.239999998</v>
      </c>
      <c r="G98" s="90">
        <v>17836901.52</v>
      </c>
      <c r="H98" s="90">
        <v>19447070.469999999</v>
      </c>
      <c r="I98" s="90">
        <v>20295254.170000002</v>
      </c>
      <c r="J98" s="90">
        <v>19193801.370000001</v>
      </c>
      <c r="K98" s="90"/>
    </row>
    <row r="99" spans="5:11" x14ac:dyDescent="0.25">
      <c r="E99" s="24" t="s">
        <v>40</v>
      </c>
      <c r="F99" s="90"/>
      <c r="G99" s="90"/>
      <c r="H99" s="90"/>
      <c r="I99" s="90"/>
      <c r="J99" s="90"/>
      <c r="K99" s="90"/>
    </row>
    <row r="100" spans="5:11" x14ac:dyDescent="0.25">
      <c r="E100" s="25" t="s">
        <v>41</v>
      </c>
      <c r="F100" s="90">
        <v>9206434.0600000005</v>
      </c>
      <c r="G100" s="90">
        <v>8270719.4000000004</v>
      </c>
      <c r="H100" s="90">
        <v>5933114.9500000002</v>
      </c>
      <c r="I100" s="90">
        <v>4712964.74</v>
      </c>
      <c r="J100" s="90">
        <v>3918587.71</v>
      </c>
      <c r="K100" s="90"/>
    </row>
    <row r="101" spans="5:11" x14ac:dyDescent="0.25">
      <c r="E101" s="26" t="s">
        <v>42</v>
      </c>
      <c r="F101" s="90">
        <v>3175991.08</v>
      </c>
      <c r="G101" s="90">
        <v>3175991.08</v>
      </c>
      <c r="H101" s="90">
        <v>3175991.08</v>
      </c>
      <c r="I101" s="90">
        <v>3175991.08</v>
      </c>
      <c r="J101" s="90">
        <v>3175991.08</v>
      </c>
      <c r="K101" s="90"/>
    </row>
    <row r="102" spans="5:11" x14ac:dyDescent="0.25">
      <c r="E102" s="26" t="s">
        <v>43</v>
      </c>
      <c r="F102" s="90"/>
      <c r="G102" s="90"/>
      <c r="H102" s="90"/>
      <c r="I102" s="90"/>
      <c r="J102" s="90"/>
      <c r="K102" s="90"/>
    </row>
    <row r="103" spans="5:11" ht="15" customHeight="1" x14ac:dyDescent="0.25">
      <c r="E103" s="26" t="s">
        <v>44</v>
      </c>
      <c r="F103" s="90">
        <v>5094728.32</v>
      </c>
      <c r="G103" s="90">
        <v>2757123.87</v>
      </c>
      <c r="H103" s="90">
        <v>1539527.12</v>
      </c>
      <c r="I103" s="90">
        <v>746601.62</v>
      </c>
      <c r="J103" s="90">
        <v>895973.65</v>
      </c>
      <c r="K103" s="90"/>
    </row>
    <row r="104" spans="5:11" x14ac:dyDescent="0.25">
      <c r="E104" s="26" t="s">
        <v>45</v>
      </c>
      <c r="F104" s="90">
        <v>935714.66</v>
      </c>
      <c r="G104" s="90">
        <v>2337604.4500000002</v>
      </c>
      <c r="H104" s="90">
        <v>1217596.75</v>
      </c>
      <c r="I104" s="90">
        <v>790372.04</v>
      </c>
      <c r="J104" s="90">
        <v>-153377.01999999999</v>
      </c>
      <c r="K104" s="90"/>
    </row>
    <row r="105" spans="5:11" ht="15" customHeight="1" x14ac:dyDescent="0.25">
      <c r="E105" s="18" t="s">
        <v>91</v>
      </c>
      <c r="F105" s="90">
        <v>9324108.1799999997</v>
      </c>
      <c r="G105" s="90">
        <v>9566182.1199999992</v>
      </c>
      <c r="H105" s="90">
        <v>13513955.52</v>
      </c>
      <c r="I105" s="90">
        <v>15582289.43</v>
      </c>
      <c r="J105" s="90">
        <v>15275213.66</v>
      </c>
      <c r="K105" s="90"/>
    </row>
    <row r="106" spans="5:11" ht="15" customHeight="1" x14ac:dyDescent="0.25">
      <c r="E106" s="17" t="s">
        <v>93</v>
      </c>
      <c r="F106" s="90"/>
      <c r="G106" s="90"/>
      <c r="H106" s="90"/>
      <c r="I106" s="90"/>
      <c r="J106" s="90"/>
      <c r="K106" s="90"/>
    </row>
    <row r="107" spans="5:11" ht="15" customHeight="1" x14ac:dyDescent="0.25">
      <c r="E107" s="17" t="s">
        <v>89</v>
      </c>
      <c r="F107" s="90"/>
      <c r="G107" s="90"/>
      <c r="H107" s="90"/>
      <c r="I107" s="90"/>
      <c r="J107" s="90"/>
      <c r="K107" s="90"/>
    </row>
    <row r="108" spans="5:11" ht="15" customHeight="1" x14ac:dyDescent="0.25">
      <c r="E108" s="17" t="s">
        <v>90</v>
      </c>
      <c r="F108" s="90">
        <v>835697.53</v>
      </c>
      <c r="G108" s="90">
        <v>865688.56</v>
      </c>
      <c r="H108" s="90">
        <v>2068298.74</v>
      </c>
      <c r="I108" s="90">
        <v>2761036.82</v>
      </c>
      <c r="J108" s="90">
        <v>2522013.75</v>
      </c>
      <c r="K108" s="90"/>
    </row>
    <row r="109" spans="5:11" ht="15" customHeight="1" x14ac:dyDescent="0.25">
      <c r="E109" s="17" t="s">
        <v>88</v>
      </c>
      <c r="F109" s="90">
        <v>8488410.6500000004</v>
      </c>
      <c r="G109" s="90">
        <v>8700493.5600000005</v>
      </c>
      <c r="H109" s="90">
        <v>11445656.779999999</v>
      </c>
      <c r="I109" s="90">
        <v>12821252.609999999</v>
      </c>
      <c r="J109" s="90">
        <v>12753199.91</v>
      </c>
      <c r="K109" s="90"/>
    </row>
    <row r="110" spans="5:11" x14ac:dyDescent="0.25">
      <c r="E110" s="25" t="s">
        <v>47</v>
      </c>
      <c r="F110" s="90">
        <v>18530542.239999998</v>
      </c>
      <c r="G110" s="90">
        <v>17836901.52</v>
      </c>
      <c r="H110" s="90">
        <v>19447070.469999999</v>
      </c>
      <c r="I110" s="90">
        <v>20295254.170000002</v>
      </c>
      <c r="J110" s="90">
        <v>19193801.370000001</v>
      </c>
      <c r="K110" s="90"/>
    </row>
    <row r="112" spans="5:11" x14ac:dyDescent="0.25">
      <c r="E112" s="117" t="s">
        <v>339</v>
      </c>
      <c r="F112" s="55"/>
      <c r="G112" s="55"/>
      <c r="H112" s="55"/>
    </row>
    <row r="113" spans="5:13" ht="15" customHeight="1" x14ac:dyDescent="0.25">
      <c r="E113" s="29" t="s">
        <v>64</v>
      </c>
      <c r="F113" s="90">
        <v>12794791.220000001</v>
      </c>
      <c r="G113" s="90">
        <v>11880555.109999999</v>
      </c>
      <c r="H113" s="90">
        <v>9539468.3499999996</v>
      </c>
      <c r="I113" s="90">
        <v>9328697.5999999996</v>
      </c>
      <c r="J113" s="90">
        <v>6616564.2999999998</v>
      </c>
      <c r="K113" s="90">
        <v>9005464.0500000007</v>
      </c>
    </row>
    <row r="114" spans="5:13" x14ac:dyDescent="0.25">
      <c r="E114" s="29" t="s">
        <v>65</v>
      </c>
      <c r="F114" s="90"/>
      <c r="G114" s="90"/>
      <c r="H114" s="90"/>
      <c r="I114" s="90"/>
      <c r="J114" s="90"/>
      <c r="K114" s="90"/>
    </row>
    <row r="115" spans="5:13" ht="15" customHeight="1" x14ac:dyDescent="0.25">
      <c r="E115" s="29" t="s">
        <v>66</v>
      </c>
      <c r="F115" s="90">
        <v>2314377.94</v>
      </c>
      <c r="G115" s="90">
        <v>2274989.2200000002</v>
      </c>
      <c r="H115" s="90">
        <v>2073984.6</v>
      </c>
      <c r="I115" s="90">
        <v>1000308.98</v>
      </c>
      <c r="J115" s="90">
        <v>1065005.03</v>
      </c>
      <c r="K115" s="90">
        <v>1030483.06</v>
      </c>
    </row>
    <row r="116" spans="5:13" x14ac:dyDescent="0.25">
      <c r="E116" s="30" t="s">
        <v>94</v>
      </c>
      <c r="F116" s="90">
        <f>F113-F115</f>
        <v>10480413.280000001</v>
      </c>
      <c r="G116" s="90">
        <f t="shared" ref="G116:J116" si="68">G113-G115</f>
        <v>9605565.8899999987</v>
      </c>
      <c r="H116" s="90">
        <f t="shared" si="68"/>
        <v>7465483.75</v>
      </c>
      <c r="I116" s="90">
        <f t="shared" si="68"/>
        <v>8328388.6199999992</v>
      </c>
      <c r="J116" s="90">
        <f t="shared" si="68"/>
        <v>5551559.2699999996</v>
      </c>
      <c r="K116" s="90">
        <f>I116+I115</f>
        <v>9328697.5999999996</v>
      </c>
      <c r="M116" s="140"/>
    </row>
    <row r="117" spans="5:13" x14ac:dyDescent="0.25">
      <c r="E117" s="29" t="s">
        <v>67</v>
      </c>
      <c r="F117" s="90">
        <v>12593895.560000001</v>
      </c>
      <c r="G117" s="90">
        <v>10268316.619999999</v>
      </c>
      <c r="H117" s="90">
        <v>8408668.5500000007</v>
      </c>
      <c r="I117" s="90">
        <v>8440078.0800000001</v>
      </c>
      <c r="J117" s="90">
        <v>6549400.4699999997</v>
      </c>
      <c r="K117" s="90">
        <f t="shared" ref="K117" si="69">I117</f>
        <v>8440078.0800000001</v>
      </c>
    </row>
    <row r="118" spans="5:13" x14ac:dyDescent="0.25">
      <c r="E118" s="29" t="s">
        <v>48</v>
      </c>
      <c r="F118" s="90"/>
      <c r="G118" s="90"/>
      <c r="H118" s="90"/>
      <c r="I118" s="90"/>
      <c r="J118" s="90"/>
      <c r="K118" s="90"/>
    </row>
    <row r="119" spans="5:13" x14ac:dyDescent="0.25">
      <c r="E119" s="29" t="s">
        <v>68</v>
      </c>
      <c r="F119" s="90">
        <v>12593895.560000001</v>
      </c>
      <c r="G119" s="90">
        <v>10268316.619999999</v>
      </c>
      <c r="H119" s="90">
        <v>8408668.5500000007</v>
      </c>
      <c r="I119" s="90">
        <v>8440078.0800000001</v>
      </c>
      <c r="J119" s="90">
        <v>6549400.4699999997</v>
      </c>
      <c r="K119" s="90">
        <v>424190.17</v>
      </c>
    </row>
    <row r="120" spans="5:13" x14ac:dyDescent="0.25">
      <c r="E120" s="29" t="s">
        <v>69</v>
      </c>
      <c r="F120" s="90">
        <f>F113-F119</f>
        <v>200895.66000000015</v>
      </c>
      <c r="G120" s="90">
        <f t="shared" ref="G120:J120" si="70">G113-G119</f>
        <v>1612238.4900000002</v>
      </c>
      <c r="H120" s="90">
        <f t="shared" si="70"/>
        <v>1130799.7999999989</v>
      </c>
      <c r="I120" s="90">
        <f t="shared" si="70"/>
        <v>888619.51999999955</v>
      </c>
      <c r="J120" s="90">
        <f t="shared" si="70"/>
        <v>67163.830000000075</v>
      </c>
      <c r="K120" s="90">
        <v>673956.94</v>
      </c>
    </row>
    <row r="121" spans="5:13" x14ac:dyDescent="0.25">
      <c r="E121" s="29" t="s">
        <v>70</v>
      </c>
      <c r="F121" s="90"/>
      <c r="G121" s="90"/>
      <c r="H121" s="90"/>
      <c r="I121" s="90"/>
      <c r="J121" s="90"/>
      <c r="K121" s="90"/>
    </row>
    <row r="122" spans="5:13" x14ac:dyDescent="0.25">
      <c r="E122" s="29" t="s">
        <v>0</v>
      </c>
      <c r="F122" s="90"/>
      <c r="G122" s="90"/>
      <c r="H122" s="90"/>
      <c r="I122" s="90"/>
      <c r="J122" s="90"/>
      <c r="K122" s="90"/>
    </row>
    <row r="123" spans="5:13" x14ac:dyDescent="0.25">
      <c r="E123" s="29" t="s">
        <v>71</v>
      </c>
      <c r="F123" s="90">
        <v>200895.66000000015</v>
      </c>
      <c r="G123" s="90">
        <v>1612238.4900000002</v>
      </c>
      <c r="H123" s="90">
        <v>1130799.7999999989</v>
      </c>
      <c r="I123" s="90">
        <v>888619.51999999955</v>
      </c>
      <c r="J123" s="90">
        <v>67163.830000000075</v>
      </c>
      <c r="K123" s="90"/>
    </row>
    <row r="124" spans="5:13" x14ac:dyDescent="0.25">
      <c r="E124" s="29" t="s">
        <v>49</v>
      </c>
      <c r="F124" s="90">
        <v>1475722.59</v>
      </c>
      <c r="G124" s="90">
        <v>1613471.8</v>
      </c>
      <c r="H124" s="90">
        <v>452007.04</v>
      </c>
      <c r="I124" s="90">
        <v>281225.59000000003</v>
      </c>
      <c r="J124" s="90">
        <v>164221.20000000001</v>
      </c>
      <c r="K124" s="90">
        <v>131595.87</v>
      </c>
    </row>
    <row r="125" spans="5:13" x14ac:dyDescent="0.25">
      <c r="E125" s="29" t="s">
        <v>72</v>
      </c>
      <c r="F125" s="90"/>
      <c r="G125" s="90"/>
      <c r="H125" s="90"/>
      <c r="I125" s="90"/>
      <c r="J125" s="90"/>
      <c r="K125" s="90"/>
    </row>
    <row r="126" spans="5:13" x14ac:dyDescent="0.25">
      <c r="E126" s="29" t="s">
        <v>50</v>
      </c>
      <c r="F126" s="90"/>
      <c r="G126" s="90"/>
      <c r="H126" s="90"/>
      <c r="I126" s="90"/>
      <c r="J126" s="90"/>
      <c r="K126" s="90"/>
    </row>
    <row r="127" spans="5:13" x14ac:dyDescent="0.25">
      <c r="E127" s="29" t="s">
        <v>73</v>
      </c>
      <c r="F127" s="90"/>
      <c r="G127" s="90"/>
      <c r="H127" s="90"/>
      <c r="I127" s="90"/>
      <c r="J127" s="90"/>
      <c r="K127" s="90"/>
    </row>
    <row r="128" spans="5:13" x14ac:dyDescent="0.25">
      <c r="E128" s="29" t="s">
        <v>51</v>
      </c>
      <c r="F128" s="90">
        <v>1475722.59</v>
      </c>
      <c r="G128" s="90">
        <v>1613471.8</v>
      </c>
      <c r="H128" s="90">
        <v>452007.04</v>
      </c>
      <c r="I128" s="90">
        <v>281225.59000000003</v>
      </c>
      <c r="J128" s="90">
        <v>164221.20000000001</v>
      </c>
      <c r="K128" s="90">
        <v>131595.87</v>
      </c>
    </row>
    <row r="129" spans="5:11" x14ac:dyDescent="0.25">
      <c r="E129" s="31" t="s">
        <v>74</v>
      </c>
      <c r="F129" s="90"/>
      <c r="G129" s="90"/>
      <c r="H129" s="90"/>
      <c r="I129" s="90"/>
      <c r="J129" s="90"/>
      <c r="K129" s="90"/>
    </row>
    <row r="130" spans="5:11" x14ac:dyDescent="0.25">
      <c r="E130" s="31" t="s">
        <v>75</v>
      </c>
      <c r="F130" s="90"/>
      <c r="G130" s="90"/>
      <c r="H130" s="90"/>
      <c r="I130" s="90"/>
      <c r="J130" s="90"/>
      <c r="K130" s="90"/>
    </row>
    <row r="131" spans="5:11" x14ac:dyDescent="0.25">
      <c r="E131" s="29" t="s">
        <v>52</v>
      </c>
      <c r="F131" s="90"/>
      <c r="G131" s="90"/>
      <c r="H131" s="90"/>
      <c r="I131" s="90"/>
      <c r="J131" s="90"/>
      <c r="K131" s="90"/>
    </row>
    <row r="132" spans="5:11" x14ac:dyDescent="0.25">
      <c r="E132" s="29" t="s">
        <v>53</v>
      </c>
      <c r="F132" s="90">
        <v>814424.04</v>
      </c>
      <c r="G132" s="90">
        <v>814706.19</v>
      </c>
      <c r="H132" s="90">
        <v>449909.56</v>
      </c>
      <c r="I132" s="90">
        <v>277154.33</v>
      </c>
      <c r="J132" s="90">
        <v>167720.42000000001</v>
      </c>
      <c r="K132" s="90">
        <v>137353.60999999999</v>
      </c>
    </row>
    <row r="133" spans="5:11" x14ac:dyDescent="0.25">
      <c r="E133" s="29" t="s">
        <v>76</v>
      </c>
      <c r="F133" s="90"/>
      <c r="G133" s="90"/>
      <c r="H133" s="90"/>
      <c r="I133" s="90"/>
      <c r="J133" s="90"/>
      <c r="K133" s="90"/>
    </row>
    <row r="134" spans="5:11" x14ac:dyDescent="0.25">
      <c r="E134" s="29" t="s">
        <v>77</v>
      </c>
      <c r="F134" s="90"/>
      <c r="G134" s="90"/>
      <c r="H134" s="90"/>
      <c r="I134" s="90"/>
      <c r="J134" s="90"/>
      <c r="K134" s="90"/>
    </row>
    <row r="135" spans="5:11" x14ac:dyDescent="0.25">
      <c r="E135" s="29" t="s">
        <v>54</v>
      </c>
      <c r="F135" s="90">
        <v>814424.04</v>
      </c>
      <c r="G135" s="90">
        <v>814706.19</v>
      </c>
      <c r="H135" s="90">
        <v>449909.56</v>
      </c>
      <c r="I135" s="90">
        <v>277154.33</v>
      </c>
      <c r="J135" s="90">
        <v>167720.42000000001</v>
      </c>
      <c r="K135" s="90">
        <v>137353.60999999999</v>
      </c>
    </row>
    <row r="136" spans="5:11" x14ac:dyDescent="0.25">
      <c r="E136" s="31" t="s">
        <v>78</v>
      </c>
      <c r="F136" s="90"/>
      <c r="G136" s="90"/>
      <c r="H136" s="90"/>
      <c r="I136" s="90"/>
      <c r="J136" s="90"/>
      <c r="K136" s="90"/>
    </row>
    <row r="137" spans="5:11" x14ac:dyDescent="0.25">
      <c r="E137" s="31" t="s">
        <v>79</v>
      </c>
      <c r="F137" s="90"/>
      <c r="G137" s="90"/>
      <c r="H137" s="90"/>
      <c r="I137" s="90"/>
      <c r="J137" s="90"/>
      <c r="K137" s="90"/>
    </row>
    <row r="138" spans="5:11" x14ac:dyDescent="0.25">
      <c r="E138" s="29" t="s">
        <v>55</v>
      </c>
      <c r="F138" s="90"/>
      <c r="G138" s="90"/>
      <c r="H138" s="90"/>
      <c r="I138" s="90"/>
      <c r="J138" s="90"/>
      <c r="K138" s="90"/>
    </row>
    <row r="139" spans="5:11" x14ac:dyDescent="0.25">
      <c r="E139" s="29" t="s">
        <v>80</v>
      </c>
      <c r="F139" s="90">
        <v>862194.21</v>
      </c>
      <c r="G139" s="90">
        <v>2411004.1</v>
      </c>
      <c r="H139" s="90">
        <v>1132897.28</v>
      </c>
      <c r="I139" s="90">
        <v>892690.78</v>
      </c>
      <c r="J139" s="90">
        <v>63664.61</v>
      </c>
      <c r="K139" s="90">
        <v>668199.19999999995</v>
      </c>
    </row>
    <row r="140" spans="5:11" x14ac:dyDescent="0.25">
      <c r="E140" s="29" t="s">
        <v>1</v>
      </c>
      <c r="F140" s="90">
        <v>124764.63</v>
      </c>
      <c r="G140" s="90">
        <v>20433.759999999998</v>
      </c>
      <c r="H140" s="90">
        <v>245997.33</v>
      </c>
      <c r="I140" s="90">
        <v>32574.03</v>
      </c>
      <c r="J140" s="90">
        <v>171079.67</v>
      </c>
      <c r="K140" s="90">
        <v>196.99</v>
      </c>
    </row>
    <row r="141" spans="5:11" x14ac:dyDescent="0.25">
      <c r="E141" s="29" t="s">
        <v>81</v>
      </c>
      <c r="F141" s="90"/>
      <c r="G141" s="90"/>
      <c r="H141" s="90"/>
      <c r="I141" s="90"/>
      <c r="J141" s="90"/>
      <c r="K141" s="90"/>
    </row>
    <row r="142" spans="5:11" x14ac:dyDescent="0.25">
      <c r="E142" s="29" t="s">
        <v>82</v>
      </c>
      <c r="F142" s="90"/>
      <c r="G142" s="90"/>
      <c r="H142" s="90"/>
      <c r="I142" s="90"/>
      <c r="J142" s="90"/>
      <c r="K142" s="90"/>
    </row>
    <row r="143" spans="5:11" x14ac:dyDescent="0.25">
      <c r="E143" s="29" t="s">
        <v>83</v>
      </c>
      <c r="F143" s="90"/>
      <c r="G143" s="90"/>
      <c r="H143" s="90"/>
      <c r="I143" s="90"/>
      <c r="J143" s="90"/>
      <c r="K143" s="90"/>
    </row>
    <row r="144" spans="5:11" x14ac:dyDescent="0.25">
      <c r="E144" s="29" t="s">
        <v>56</v>
      </c>
      <c r="F144" s="90"/>
      <c r="G144" s="90"/>
      <c r="H144" s="90"/>
      <c r="I144" s="90"/>
      <c r="J144" s="90"/>
      <c r="K144" s="90"/>
    </row>
    <row r="145" spans="5:12" x14ac:dyDescent="0.25">
      <c r="E145" s="29" t="s">
        <v>84</v>
      </c>
      <c r="F145" s="90"/>
      <c r="G145" s="90"/>
      <c r="H145" s="90"/>
      <c r="I145" s="90"/>
      <c r="J145" s="90"/>
      <c r="K145" s="90"/>
    </row>
    <row r="146" spans="5:12" x14ac:dyDescent="0.25">
      <c r="E146" s="29" t="s">
        <v>85</v>
      </c>
      <c r="F146" s="90"/>
      <c r="G146" s="90"/>
      <c r="H146" s="90"/>
      <c r="I146" s="90"/>
      <c r="J146" s="90"/>
      <c r="K146" s="90"/>
    </row>
    <row r="147" spans="5:12" x14ac:dyDescent="0.25">
      <c r="E147" s="29" t="s">
        <v>57</v>
      </c>
      <c r="F147" s="90"/>
      <c r="G147" s="90"/>
      <c r="H147" s="90"/>
      <c r="I147" s="90"/>
      <c r="J147" s="90"/>
      <c r="K147" s="90"/>
    </row>
    <row r="148" spans="5:12" x14ac:dyDescent="0.25">
      <c r="E148" s="29" t="s">
        <v>2</v>
      </c>
      <c r="F148" s="90">
        <v>51244.18</v>
      </c>
      <c r="G148" s="90">
        <v>93833.41</v>
      </c>
      <c r="H148" s="90">
        <v>161297.85999999999</v>
      </c>
      <c r="I148" s="90">
        <v>132339.31</v>
      </c>
      <c r="J148" s="90">
        <v>384116.31</v>
      </c>
      <c r="K148" s="90">
        <v>54211.23</v>
      </c>
      <c r="L148" s="43" t="s">
        <v>376</v>
      </c>
    </row>
    <row r="149" spans="5:12" x14ac:dyDescent="0.25">
      <c r="E149" s="29" t="s">
        <v>58</v>
      </c>
      <c r="F149" s="90"/>
      <c r="G149" s="90"/>
      <c r="H149" s="90"/>
      <c r="I149" s="90"/>
      <c r="J149" s="90"/>
      <c r="K149" s="90"/>
    </row>
    <row r="150" spans="5:12" x14ac:dyDescent="0.25">
      <c r="E150" s="29" t="s">
        <v>86</v>
      </c>
      <c r="F150" s="90"/>
      <c r="G150" s="90"/>
      <c r="H150" s="90"/>
      <c r="I150" s="90"/>
      <c r="J150" s="90"/>
      <c r="K150" s="90"/>
    </row>
    <row r="151" spans="5:12" x14ac:dyDescent="0.25">
      <c r="E151" s="29" t="s">
        <v>87</v>
      </c>
      <c r="F151" s="90"/>
      <c r="G151" s="90"/>
      <c r="H151" s="90"/>
      <c r="I151" s="90"/>
      <c r="J151" s="90"/>
      <c r="K151" s="90"/>
    </row>
    <row r="152" spans="5:12" x14ac:dyDescent="0.25">
      <c r="E152" s="29" t="s">
        <v>59</v>
      </c>
      <c r="F152" s="90"/>
      <c r="G152" s="90"/>
      <c r="H152" s="90"/>
      <c r="I152" s="90"/>
      <c r="J152" s="90"/>
      <c r="K152" s="90"/>
    </row>
    <row r="153" spans="5:12" x14ac:dyDescent="0.25">
      <c r="E153" s="29" t="s">
        <v>60</v>
      </c>
      <c r="F153" s="90">
        <v>935714.66</v>
      </c>
      <c r="G153" s="90">
        <v>2337604.4500000002</v>
      </c>
      <c r="H153" s="90">
        <v>1217596.75</v>
      </c>
      <c r="I153" s="90">
        <v>792925.5</v>
      </c>
      <c r="J153" s="90">
        <v>-149372.03</v>
      </c>
      <c r="K153" s="90">
        <v>614184.95999999996</v>
      </c>
    </row>
    <row r="154" spans="5:12" x14ac:dyDescent="0.25">
      <c r="E154" s="29" t="s">
        <v>61</v>
      </c>
      <c r="F154" s="90"/>
      <c r="G154" s="90"/>
      <c r="H154" s="90"/>
      <c r="I154" s="90"/>
      <c r="J154" s="90"/>
      <c r="K154" s="90"/>
    </row>
    <row r="155" spans="5:12" x14ac:dyDescent="0.25">
      <c r="E155" s="29" t="s">
        <v>62</v>
      </c>
      <c r="F155" s="90"/>
      <c r="G155" s="90"/>
      <c r="H155" s="90"/>
      <c r="I155" s="90"/>
      <c r="J155" s="90"/>
      <c r="K155" s="90"/>
    </row>
    <row r="156" spans="5:12" x14ac:dyDescent="0.25">
      <c r="E156" s="29" t="s">
        <v>63</v>
      </c>
      <c r="F156" s="90">
        <v>935714.66</v>
      </c>
      <c r="G156" s="90">
        <v>2337604.4500000002</v>
      </c>
      <c r="H156" s="90">
        <v>1217596.75</v>
      </c>
      <c r="I156" s="90">
        <v>792925.5</v>
      </c>
      <c r="J156" s="90">
        <v>-149372.03</v>
      </c>
      <c r="K156" s="90">
        <v>614184.95999999996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C68DD-1AA7-416F-B52C-A6894F098EB6}">
  <sheetPr>
    <tabColor theme="5" tint="0.79998168889431442"/>
  </sheetPr>
  <dimension ref="A1:L177"/>
  <sheetViews>
    <sheetView topLeftCell="A146" workbookViewId="0">
      <selection sqref="A1:L181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421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0.81987008146545137</v>
      </c>
      <c r="B4" s="139">
        <f>MAX(F4:K4)</f>
        <v>1.1736665056443276</v>
      </c>
      <c r="C4" s="155">
        <f>AVERAGE(F4:K4)</f>
        <v>0.98025239135996067</v>
      </c>
      <c r="D4" s="156">
        <f>MEDIAN(F4:K4)</f>
        <v>0.96718888951880688</v>
      </c>
      <c r="E4" s="47" t="s">
        <v>364</v>
      </c>
      <c r="F4" s="71">
        <f>SUM(F9:F12)/SUM(F13:F15)</f>
        <v>0.97227720520812189</v>
      </c>
      <c r="G4" s="71">
        <f t="shared" ref="G4:K4" si="0">SUM(G9:G12)/SUM(G13:G15)</f>
        <v>1.0849295522270765</v>
      </c>
      <c r="H4" s="71">
        <f t="shared" si="0"/>
        <v>1.1736665056443276</v>
      </c>
      <c r="I4" s="71">
        <f t="shared" si="0"/>
        <v>0.81987008146545137</v>
      </c>
      <c r="J4" s="71">
        <f t="shared" si="0"/>
        <v>0.86867042978529518</v>
      </c>
      <c r="K4" s="71">
        <f t="shared" si="0"/>
        <v>0.96210057382949188</v>
      </c>
    </row>
    <row r="5" spans="1:11" s="43" customFormat="1" ht="13.2" x14ac:dyDescent="0.25">
      <c r="A5" s="139">
        <f t="shared" ref="A5:A7" si="1">MIN(F5:K5)</f>
        <v>0.81987008146545137</v>
      </c>
      <c r="B5" s="139">
        <f t="shared" ref="B5:B7" si="2">MAX(F5:K5)</f>
        <v>1.1736665056443276</v>
      </c>
      <c r="C5" s="155">
        <f t="shared" ref="C5:C7" si="3">AVERAGEIF(F5:K5,"&gt;0")</f>
        <v>0.98025239135996067</v>
      </c>
      <c r="D5" s="156">
        <f t="shared" ref="D5:D7" si="4">_xlfn.AGGREGATE(12,6,F5:K5)</f>
        <v>0.96718888951880688</v>
      </c>
      <c r="E5" s="47" t="s">
        <v>363</v>
      </c>
      <c r="F5" s="71">
        <f t="shared" ref="F5:K5" si="5">SUM(F9:F12)/F14</f>
        <v>0.97227720520812189</v>
      </c>
      <c r="G5" s="71">
        <f t="shared" si="5"/>
        <v>1.0849295522270765</v>
      </c>
      <c r="H5" s="71">
        <f t="shared" si="5"/>
        <v>1.1736665056443276</v>
      </c>
      <c r="I5" s="71">
        <f t="shared" si="5"/>
        <v>0.81987008146545137</v>
      </c>
      <c r="J5" s="71">
        <f t="shared" si="5"/>
        <v>0.86867042978529518</v>
      </c>
      <c r="K5" s="71">
        <f t="shared" si="5"/>
        <v>0.96210057382949188</v>
      </c>
    </row>
    <row r="6" spans="1:11" s="43" customFormat="1" ht="13.2" x14ac:dyDescent="0.25">
      <c r="A6" s="139">
        <f t="shared" si="1"/>
        <v>0.80820366059155835</v>
      </c>
      <c r="B6" s="139">
        <f t="shared" si="2"/>
        <v>1.1264372593098348</v>
      </c>
      <c r="C6" s="155">
        <f t="shared" si="3"/>
        <v>0.95659771231003266</v>
      </c>
      <c r="D6" s="156">
        <f t="shared" si="4"/>
        <v>0.94742150816474668</v>
      </c>
      <c r="E6" s="47" t="s">
        <v>365</v>
      </c>
      <c r="F6" s="71">
        <f t="shared" ref="F6:K6" si="6">SUM(F10:F11)/F14</f>
        <v>0.94453316175348812</v>
      </c>
      <c r="G6" s="71">
        <f t="shared" si="6"/>
        <v>1.0628921211593283</v>
      </c>
      <c r="H6" s="71">
        <f t="shared" si="6"/>
        <v>1.1264372593098348</v>
      </c>
      <c r="I6" s="71">
        <f t="shared" si="6"/>
        <v>0.80820366059155835</v>
      </c>
      <c r="J6" s="71">
        <f t="shared" si="6"/>
        <v>0.84721021646998063</v>
      </c>
      <c r="K6" s="71">
        <f t="shared" si="6"/>
        <v>0.95030985457600525</v>
      </c>
    </row>
    <row r="7" spans="1:11" s="43" customFormat="1" ht="13.8" thickBot="1" x14ac:dyDescent="0.3">
      <c r="A7" s="139">
        <f t="shared" si="1"/>
        <v>7.8991916194099399E-2</v>
      </c>
      <c r="B7" s="139">
        <f t="shared" si="2"/>
        <v>0.30721558921190484</v>
      </c>
      <c r="C7" s="155">
        <f t="shared" si="3"/>
        <v>0.16380893412719988</v>
      </c>
      <c r="D7" s="156">
        <f t="shared" si="4"/>
        <v>0.14987658728918118</v>
      </c>
      <c r="E7" s="49" t="s">
        <v>366</v>
      </c>
      <c r="F7" s="73">
        <f t="shared" ref="F7:K7" si="7">F11/F14</f>
        <v>0.30721558921190484</v>
      </c>
      <c r="G7" s="73">
        <f t="shared" si="7"/>
        <v>7.8991916194099399E-2</v>
      </c>
      <c r="H7" s="73">
        <f t="shared" si="7"/>
        <v>0.16845073121233628</v>
      </c>
      <c r="I7" s="73">
        <f t="shared" si="7"/>
        <v>0.12844219356649628</v>
      </c>
      <c r="J7" s="73">
        <f t="shared" si="7"/>
        <v>0.13301861766309322</v>
      </c>
      <c r="K7" s="73">
        <f t="shared" si="7"/>
        <v>0.16673455691526917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136769.46</v>
      </c>
      <c r="G10" s="76">
        <f t="shared" si="8"/>
        <v>166264.14000000001</v>
      </c>
      <c r="H10" s="76">
        <f t="shared" si="8"/>
        <v>141992.38</v>
      </c>
      <c r="I10" s="76">
        <f t="shared" si="8"/>
        <v>257430.12</v>
      </c>
      <c r="J10" s="76">
        <f t="shared" si="8"/>
        <v>200357.04</v>
      </c>
      <c r="K10" s="76">
        <f t="shared" si="8"/>
        <v>399134.49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65929</v>
      </c>
      <c r="G11" s="76">
        <f t="shared" si="8"/>
        <v>13348.43</v>
      </c>
      <c r="H11" s="76">
        <f t="shared" si="8"/>
        <v>24967.7</v>
      </c>
      <c r="I11" s="76">
        <f t="shared" si="8"/>
        <v>48641.9</v>
      </c>
      <c r="J11" s="76">
        <f t="shared" si="8"/>
        <v>37316.620000000003</v>
      </c>
      <c r="K11" s="76">
        <f t="shared" si="8"/>
        <v>84930.59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5953.92</v>
      </c>
      <c r="G12" s="76">
        <f t="shared" si="8"/>
        <v>3723.99</v>
      </c>
      <c r="H12" s="76">
        <f t="shared" si="8"/>
        <v>7000.3</v>
      </c>
      <c r="I12" s="76">
        <f t="shared" si="8"/>
        <v>4418.1499999999996</v>
      </c>
      <c r="J12" s="76">
        <f t="shared" si="8"/>
        <v>6020.38</v>
      </c>
      <c r="K12" s="76">
        <f t="shared" si="8"/>
        <v>6005.91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214601.74</v>
      </c>
      <c r="G14" s="76">
        <f t="shared" ref="G14:K15" si="10">G130</f>
        <v>168984.76</v>
      </c>
      <c r="H14" s="76">
        <f t="shared" si="10"/>
        <v>148219.6</v>
      </c>
      <c r="I14" s="76">
        <f t="shared" si="10"/>
        <v>378706.55</v>
      </c>
      <c r="J14" s="76">
        <f t="shared" si="10"/>
        <v>280536.82</v>
      </c>
      <c r="K14" s="76">
        <f t="shared" si="10"/>
        <v>509376.05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156.74933587552633</v>
      </c>
      <c r="B19" s="152">
        <f t="shared" ref="B19:B25" si="12">MAX(F19:K19)</f>
        <v>859.01195082754521</v>
      </c>
      <c r="C19" s="156">
        <f>AVERAGE(F19:K19)</f>
        <v>348.58165725096768</v>
      </c>
      <c r="D19" s="156">
        <f>MEDIAN(F19:K19)</f>
        <v>214.42689700568178</v>
      </c>
      <c r="E19" s="47" t="s">
        <v>293</v>
      </c>
      <c r="F19" s="71">
        <f>F28/(F27/365)</f>
        <v>156.74933587552633</v>
      </c>
      <c r="G19" s="71">
        <f t="shared" ref="G19:K19" si="13">G28/(G27/365)</f>
        <v>169.64269274348416</v>
      </c>
      <c r="H19" s="71">
        <f t="shared" si="13"/>
        <v>179.99688852274014</v>
      </c>
      <c r="I19" s="71">
        <f t="shared" si="13"/>
        <v>477.23217004788671</v>
      </c>
      <c r="J19" s="71">
        <f t="shared" si="13"/>
        <v>248.85690548862343</v>
      </c>
      <c r="K19" s="71">
        <f t="shared" si="13"/>
        <v>859.01195082754521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172.41859681234578</v>
      </c>
      <c r="B21" s="152">
        <f t="shared" si="12"/>
        <v>1096.2723727917605</v>
      </c>
      <c r="C21" s="156">
        <f t="shared" si="14"/>
        <v>458.83956037053485</v>
      </c>
      <c r="D21" s="156">
        <f t="shared" si="15"/>
        <v>297.19863617312228</v>
      </c>
      <c r="E21" s="47" t="s">
        <v>368</v>
      </c>
      <c r="F21" s="71">
        <f>F30/(F27/365)</f>
        <v>245.95169289059393</v>
      </c>
      <c r="G21" s="71">
        <f t="shared" ref="G21:K21" si="17">G30/(G27/365)</f>
        <v>172.41859681234578</v>
      </c>
      <c r="H21" s="71">
        <f t="shared" si="17"/>
        <v>187.89083483272225</v>
      </c>
      <c r="I21" s="71">
        <f t="shared" si="17"/>
        <v>702.05828544013616</v>
      </c>
      <c r="J21" s="71">
        <f t="shared" si="17"/>
        <v>348.4455794556506</v>
      </c>
      <c r="K21" s="71">
        <f t="shared" si="17"/>
        <v>1096.2723727917605</v>
      </c>
    </row>
    <row r="22" spans="1:11" s="43" customFormat="1" ht="13.2" x14ac:dyDescent="0.25">
      <c r="A22" s="152">
        <f t="shared" si="11"/>
        <v>-237.26042196421531</v>
      </c>
      <c r="B22" s="152">
        <f t="shared" si="12"/>
        <v>-2.775904068861621</v>
      </c>
      <c r="C22" s="156">
        <f t="shared" si="14"/>
        <v>-110.25790311956722</v>
      </c>
      <c r="D22" s="156">
        <f t="shared" si="15"/>
        <v>-94.395515491047391</v>
      </c>
      <c r="E22" s="47" t="s">
        <v>294</v>
      </c>
      <c r="F22" s="71">
        <f>F19+F20-F21</f>
        <v>-89.202357015067605</v>
      </c>
      <c r="G22" s="71">
        <f t="shared" ref="G22:K22" si="18">G19+G20-G21</f>
        <v>-2.775904068861621</v>
      </c>
      <c r="H22" s="71">
        <f t="shared" si="18"/>
        <v>-7.8939463099821126</v>
      </c>
      <c r="I22" s="71">
        <f t="shared" si="18"/>
        <v>-224.82611539224945</v>
      </c>
      <c r="J22" s="71">
        <f t="shared" si="18"/>
        <v>-99.588673967027177</v>
      </c>
      <c r="K22" s="71">
        <f t="shared" si="18"/>
        <v>-237.26042196421531</v>
      </c>
    </row>
    <row r="23" spans="1:11" s="43" customFormat="1" ht="13.2" x14ac:dyDescent="0.25">
      <c r="A23" s="152">
        <f t="shared" si="11"/>
        <v>0.13897664759775441</v>
      </c>
      <c r="B23" s="152">
        <f t="shared" si="12"/>
        <v>0.36336990390500273</v>
      </c>
      <c r="C23" s="156">
        <f t="shared" si="14"/>
        <v>0.26795310991123894</v>
      </c>
      <c r="D23" s="156">
        <f t="shared" si="15"/>
        <v>0.30291455404159684</v>
      </c>
      <c r="E23" s="47" t="s">
        <v>295</v>
      </c>
      <c r="F23" s="71">
        <f>F27/F31</f>
        <v>0.31034580306678583</v>
      </c>
      <c r="G23" s="71">
        <f t="shared" ref="G23:K23" si="19">G27/G31</f>
        <v>0.36336990390500273</v>
      </c>
      <c r="H23" s="71">
        <f t="shared" si="19"/>
        <v>0.31306685502536263</v>
      </c>
      <c r="I23" s="71">
        <f t="shared" si="19"/>
        <v>0.18647614485612024</v>
      </c>
      <c r="J23" s="71">
        <f t="shared" si="19"/>
        <v>0.2954833050164079</v>
      </c>
      <c r="K23" s="71">
        <f t="shared" si="19"/>
        <v>0.13897664759775441</v>
      </c>
    </row>
    <row r="24" spans="1:11" s="43" customFormat="1" ht="13.2" x14ac:dyDescent="0.25">
      <c r="A24" s="152">
        <f t="shared" si="11"/>
        <v>0.21738873793850738</v>
      </c>
      <c r="B24" s="152">
        <f t="shared" si="12"/>
        <v>0.44652468103598553</v>
      </c>
      <c r="C24" s="156">
        <f t="shared" si="14"/>
        <v>0.34919791667967143</v>
      </c>
      <c r="D24" s="156">
        <f t="shared" si="15"/>
        <v>0.38782324788864042</v>
      </c>
      <c r="E24" s="121" t="s">
        <v>369</v>
      </c>
      <c r="F24" s="71">
        <f>F27/F32</f>
        <v>0.38955181901927122</v>
      </c>
      <c r="G24" s="71">
        <f t="shared" ref="G24:K24" si="20">G27/G32</f>
        <v>0.44652468103598553</v>
      </c>
      <c r="H24" s="71">
        <f t="shared" si="20"/>
        <v>0.38609467675800957</v>
      </c>
      <c r="I24" s="71">
        <f t="shared" si="20"/>
        <v>0.26419020403108162</v>
      </c>
      <c r="J24" s="71">
        <f t="shared" si="20"/>
        <v>0.39143738129517297</v>
      </c>
      <c r="K24" s="71">
        <f t="shared" si="20"/>
        <v>0.21738873793850738</v>
      </c>
    </row>
    <row r="25" spans="1:11" s="43" customFormat="1" ht="13.8" thickBot="1" x14ac:dyDescent="0.3">
      <c r="A25" s="152">
        <f t="shared" si="11"/>
        <v>0.38529718941185426</v>
      </c>
      <c r="B25" s="152">
        <f t="shared" si="12"/>
        <v>1.9512265324783369</v>
      </c>
      <c r="C25" s="156">
        <f t="shared" si="14"/>
        <v>1.2262282983974551</v>
      </c>
      <c r="D25" s="156">
        <f t="shared" si="15"/>
        <v>1.3658737879419349</v>
      </c>
      <c r="E25" s="49" t="s">
        <v>296</v>
      </c>
      <c r="F25" s="73">
        <f>F27/F33</f>
        <v>1.5263458293646111</v>
      </c>
      <c r="G25" s="73">
        <f t="shared" ref="G25:K25" si="21">G27/G33</f>
        <v>1.9512265324783369</v>
      </c>
      <c r="H25" s="73">
        <f t="shared" si="21"/>
        <v>1.6551698151038758</v>
      </c>
      <c r="I25" s="73">
        <f t="shared" si="21"/>
        <v>0.63392867750679316</v>
      </c>
      <c r="J25" s="73">
        <f t="shared" si="21"/>
        <v>1.205401746519259</v>
      </c>
      <c r="K25" s="73">
        <f t="shared" si="21"/>
        <v>0.38529718941185426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318475.69</v>
      </c>
      <c r="G27" s="76">
        <f t="shared" ref="G27:K27" si="22">G93+G86</f>
        <v>357730.77</v>
      </c>
      <c r="H27" s="76">
        <f t="shared" si="22"/>
        <v>287933.96999999997</v>
      </c>
      <c r="I27" s="76">
        <f t="shared" si="22"/>
        <v>196889.48</v>
      </c>
      <c r="J27" s="76">
        <f t="shared" si="22"/>
        <v>293864.94</v>
      </c>
      <c r="K27" s="76">
        <f t="shared" si="22"/>
        <v>169594.95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136769.46</v>
      </c>
      <c r="G28" s="76">
        <f t="shared" ref="G28:K28" si="23">G116</f>
        <v>166264.14000000001</v>
      </c>
      <c r="H28" s="76">
        <f t="shared" si="23"/>
        <v>141992.38</v>
      </c>
      <c r="I28" s="76">
        <f t="shared" si="23"/>
        <v>257430.12</v>
      </c>
      <c r="J28" s="76">
        <f t="shared" si="23"/>
        <v>200357.04</v>
      </c>
      <c r="K28" s="76">
        <f t="shared" si="23"/>
        <v>399134.49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214601.74</v>
      </c>
      <c r="G30" s="76">
        <f t="shared" ref="G30:K30" si="25">G130</f>
        <v>168984.76</v>
      </c>
      <c r="H30" s="76">
        <f t="shared" si="25"/>
        <v>148219.6</v>
      </c>
      <c r="I30" s="76">
        <f t="shared" si="25"/>
        <v>378706.55</v>
      </c>
      <c r="J30" s="76">
        <f t="shared" si="25"/>
        <v>280536.82</v>
      </c>
      <c r="K30" s="76">
        <f t="shared" si="25"/>
        <v>509376.05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1026196.22</v>
      </c>
      <c r="G31" s="76">
        <f t="shared" ref="G31:K31" si="26">G120</f>
        <v>984481.01</v>
      </c>
      <c r="H31" s="76">
        <f t="shared" si="26"/>
        <v>919720.39</v>
      </c>
      <c r="I31" s="76">
        <f t="shared" si="26"/>
        <v>1055842.72</v>
      </c>
      <c r="J31" s="76">
        <f t="shared" si="26"/>
        <v>994522.99</v>
      </c>
      <c r="K31" s="76">
        <f t="shared" si="26"/>
        <v>1220312.57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817543.84</v>
      </c>
      <c r="G32" s="76">
        <f t="shared" ref="G32:K32" si="27">G108</f>
        <v>801144.45</v>
      </c>
      <c r="H32" s="76">
        <f t="shared" si="27"/>
        <v>745760.01</v>
      </c>
      <c r="I32" s="76">
        <f t="shared" si="27"/>
        <v>745256.55</v>
      </c>
      <c r="J32" s="76">
        <f t="shared" si="27"/>
        <v>750732.95</v>
      </c>
      <c r="K32" s="76">
        <f t="shared" si="27"/>
        <v>780145.98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208652.38</v>
      </c>
      <c r="G33" s="76">
        <f t="shared" ref="G33:K33" si="28">G114</f>
        <v>183336.36</v>
      </c>
      <c r="H33" s="76">
        <f t="shared" si="28"/>
        <v>173960.38</v>
      </c>
      <c r="I33" s="76">
        <f t="shared" si="28"/>
        <v>310586.17</v>
      </c>
      <c r="J33" s="76">
        <f t="shared" si="28"/>
        <v>243790.04</v>
      </c>
      <c r="K33" s="76">
        <f t="shared" si="28"/>
        <v>440166.59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0.1907851935102334</v>
      </c>
      <c r="B37" s="139">
        <f t="shared" ref="B37:B41" si="30">MAX(F37:K37)</f>
        <v>0.53810223392192047</v>
      </c>
      <c r="C37" s="160">
        <f t="shared" ref="C37:C41" si="31">AVERAGE(F37:K37)</f>
        <v>0.32829102623427842</v>
      </c>
      <c r="D37" s="160">
        <f t="shared" ref="D37:D41" si="32">MEDIAN(F37:K37)</f>
        <v>0.30962700693676165</v>
      </c>
      <c r="E37" s="47" t="s">
        <v>370</v>
      </c>
      <c r="F37" s="119">
        <f>F43/F44*100%</f>
        <v>0.20912349491990917</v>
      </c>
      <c r="G37" s="119">
        <f t="shared" ref="G37:K37" si="33">G43/G44*100%</f>
        <v>0.1907851935102334</v>
      </c>
      <c r="H37" s="119">
        <f t="shared" si="33"/>
        <v>0.20381324806770892</v>
      </c>
      <c r="I37" s="119">
        <f t="shared" si="33"/>
        <v>0.41779146803228417</v>
      </c>
      <c r="J37" s="119">
        <f t="shared" si="33"/>
        <v>0.41013051895361413</v>
      </c>
      <c r="K37" s="119">
        <f t="shared" si="33"/>
        <v>0.53810223392192047</v>
      </c>
    </row>
    <row r="38" spans="1:11" s="43" customFormat="1" ht="13.2" x14ac:dyDescent="0.25">
      <c r="A38" s="139">
        <f t="shared" si="29"/>
        <v>0.23576582136185378</v>
      </c>
      <c r="B38" s="139">
        <f t="shared" si="30"/>
        <v>1.1649812435571711</v>
      </c>
      <c r="C38" s="155">
        <f t="shared" si="31"/>
        <v>0.55567360583740066</v>
      </c>
      <c r="D38" s="156">
        <f t="shared" si="32"/>
        <v>0.47985509735641541</v>
      </c>
      <c r="E38" s="50" t="s">
        <v>298</v>
      </c>
      <c r="F38" s="122">
        <f>F43/F45</f>
        <v>0.26441991079091615</v>
      </c>
      <c r="G38" s="122">
        <f t="shared" ref="G38:K38" si="34">G43/G45</f>
        <v>0.23576582136185378</v>
      </c>
      <c r="H38" s="122">
        <f t="shared" si="34"/>
        <v>0.25598673624381224</v>
      </c>
      <c r="I38" s="122">
        <f t="shared" si="34"/>
        <v>0.71759763914873587</v>
      </c>
      <c r="J38" s="122">
        <f t="shared" si="34"/>
        <v>0.69529028392191472</v>
      </c>
      <c r="K38" s="122">
        <f t="shared" si="34"/>
        <v>1.1649812435571711</v>
      </c>
    </row>
    <row r="39" spans="1:11" s="43" customFormat="1" ht="13.2" x14ac:dyDescent="0.25">
      <c r="A39" s="139">
        <f t="shared" si="29"/>
        <v>1.2357658213618539</v>
      </c>
      <c r="B39" s="139">
        <f t="shared" si="30"/>
        <v>2.1649812435571714</v>
      </c>
      <c r="C39" s="155">
        <f t="shared" si="31"/>
        <v>1.5556736058374006</v>
      </c>
      <c r="D39" s="156">
        <f t="shared" si="32"/>
        <v>1.4798550973564155</v>
      </c>
      <c r="E39" s="50" t="s">
        <v>299</v>
      </c>
      <c r="F39" s="122">
        <f>F44/F45</f>
        <v>1.2644199107909162</v>
      </c>
      <c r="G39" s="122">
        <f t="shared" ref="G39:K39" si="35">G44/G45</f>
        <v>1.2357658213618539</v>
      </c>
      <c r="H39" s="122">
        <f t="shared" si="35"/>
        <v>1.2559867362438124</v>
      </c>
      <c r="I39" s="122">
        <f t="shared" si="35"/>
        <v>1.7175976391487358</v>
      </c>
      <c r="J39" s="122">
        <f t="shared" si="35"/>
        <v>1.6952902839219146</v>
      </c>
      <c r="K39" s="122">
        <f t="shared" si="35"/>
        <v>2.1649812435571714</v>
      </c>
    </row>
    <row r="40" spans="1:11" s="43" customFormat="1" ht="13.2" x14ac:dyDescent="0.25">
      <c r="A40" s="139">
        <f t="shared" si="29"/>
        <v>0</v>
      </c>
      <c r="B40" s="139">
        <f t="shared" si="30"/>
        <v>0.12804873419768809</v>
      </c>
      <c r="C40" s="160">
        <f t="shared" si="31"/>
        <v>6.1607267995101959E-2</v>
      </c>
      <c r="D40" s="160">
        <f t="shared" si="32"/>
        <v>5.0885213827606871E-2</v>
      </c>
      <c r="E40" s="77" t="s">
        <v>371</v>
      </c>
      <c r="F40" s="119">
        <f>F46/F44*100%</f>
        <v>0</v>
      </c>
      <c r="G40" s="119">
        <f t="shared" ref="G40:K40" si="36">G46/G44*100%</f>
        <v>1.913662103040464E-2</v>
      </c>
      <c r="H40" s="119">
        <f t="shared" si="36"/>
        <v>4.2656007659023408E-2</v>
      </c>
      <c r="I40" s="119">
        <f t="shared" si="36"/>
        <v>5.911441999619034E-2</v>
      </c>
      <c r="J40" s="119">
        <f t="shared" si="36"/>
        <v>0.12804873419768809</v>
      </c>
      <c r="K40" s="119">
        <f t="shared" si="36"/>
        <v>0.12068782508730529</v>
      </c>
    </row>
    <row r="41" spans="1:11" s="43" customFormat="1" ht="13.8" thickBot="1" x14ac:dyDescent="0.3">
      <c r="A41" s="139">
        <f t="shared" si="29"/>
        <v>2.850384280662988</v>
      </c>
      <c r="B41" s="139">
        <f t="shared" si="30"/>
        <v>35.709651661053393</v>
      </c>
      <c r="C41" s="155">
        <f t="shared" si="31"/>
        <v>11.974666395189921</v>
      </c>
      <c r="D41" s="156">
        <f t="shared" si="32"/>
        <v>7.4872741406991876</v>
      </c>
      <c r="E41" s="51" t="s">
        <v>300</v>
      </c>
      <c r="F41" s="123">
        <f>(F47+F48)/F48</f>
        <v>5.0820199388074778</v>
      </c>
      <c r="G41" s="123">
        <f t="shared" ref="G41:K41" si="37">(G47+G48)/G48</f>
        <v>6.3689794402743747</v>
      </c>
      <c r="H41" s="123">
        <f t="shared" si="37"/>
        <v>35.709651661053393</v>
      </c>
      <c r="I41" s="123">
        <f t="shared" si="37"/>
        <v>8.6055688411240006</v>
      </c>
      <c r="J41" s="123">
        <f t="shared" si="37"/>
        <v>2.850384280662988</v>
      </c>
      <c r="K41" s="123">
        <f t="shared" si="37"/>
        <v>13.231394209217294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214601.74</v>
      </c>
      <c r="G43" s="76">
        <f t="shared" ref="G43:K43" si="38">G129+G130</f>
        <v>187824.40000000002</v>
      </c>
      <c r="H43" s="76">
        <f t="shared" si="38"/>
        <v>187451.2</v>
      </c>
      <c r="I43" s="76">
        <f t="shared" si="38"/>
        <v>441122.07999999996</v>
      </c>
      <c r="J43" s="76">
        <f t="shared" si="38"/>
        <v>407884.23</v>
      </c>
      <c r="K43" s="76">
        <f t="shared" si="38"/>
        <v>656652.91999999993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1026196.22</v>
      </c>
      <c r="G44" s="76">
        <f t="shared" ref="G44:K44" si="39">G120</f>
        <v>984481.01</v>
      </c>
      <c r="H44" s="76">
        <f t="shared" si="39"/>
        <v>919720.39</v>
      </c>
      <c r="I44" s="76">
        <f t="shared" si="39"/>
        <v>1055842.72</v>
      </c>
      <c r="J44" s="76">
        <f t="shared" si="39"/>
        <v>994522.99</v>
      </c>
      <c r="K44" s="76">
        <f t="shared" si="39"/>
        <v>1220312.57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811594.48</v>
      </c>
      <c r="G45" s="76">
        <f t="shared" ref="G45:K45" si="40">G122</f>
        <v>796656.61</v>
      </c>
      <c r="H45" s="76">
        <f t="shared" si="40"/>
        <v>732269.19</v>
      </c>
      <c r="I45" s="76">
        <f t="shared" si="40"/>
        <v>614720.64</v>
      </c>
      <c r="J45" s="76">
        <f t="shared" si="40"/>
        <v>586638.76</v>
      </c>
      <c r="K45" s="76">
        <f t="shared" si="40"/>
        <v>563659.65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18839.64</v>
      </c>
      <c r="H46" s="76">
        <f t="shared" si="41"/>
        <v>39231.599999999999</v>
      </c>
      <c r="I46" s="76">
        <f t="shared" si="41"/>
        <v>62415.53</v>
      </c>
      <c r="J46" s="76">
        <f t="shared" si="41"/>
        <v>127347.41</v>
      </c>
      <c r="K46" s="76">
        <f t="shared" si="41"/>
        <v>147276.87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27883.87</v>
      </c>
      <c r="G47" s="76">
        <f t="shared" ref="G47:K47" si="42">G102</f>
        <v>78945.42</v>
      </c>
      <c r="H47" s="76">
        <f t="shared" si="42"/>
        <v>131708.54999999999</v>
      </c>
      <c r="I47" s="76">
        <f t="shared" si="42"/>
        <v>37464.879999999997</v>
      </c>
      <c r="J47" s="76">
        <f t="shared" si="42"/>
        <v>33764.11</v>
      </c>
      <c r="K47" s="76">
        <f t="shared" si="42"/>
        <v>127421.65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6830.9</v>
      </c>
      <c r="G48" s="76">
        <f t="shared" ref="G48:K48" si="43">G101</f>
        <v>14703.99</v>
      </c>
      <c r="H48" s="76">
        <f t="shared" si="43"/>
        <v>3794.58</v>
      </c>
      <c r="I48" s="76">
        <f t="shared" si="43"/>
        <v>4925.9799999999996</v>
      </c>
      <c r="J48" s="76">
        <f t="shared" si="43"/>
        <v>18247.080000000002</v>
      </c>
      <c r="K48" s="76">
        <f t="shared" si="43"/>
        <v>10417.59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0.1730742906389971</v>
      </c>
      <c r="B52" s="139">
        <f t="shared" ref="B52:B63" si="45">MAX(F52:K52)</f>
        <v>0.81048273291138551</v>
      </c>
      <c r="C52" s="160">
        <f t="shared" ref="C52:C63" si="46">AVERAGE(F52:K52)</f>
        <v>0.41703745203037607</v>
      </c>
      <c r="D52" s="160">
        <f t="shared" ref="D52:D63" si="47">MEDIAN(F52:K52)</f>
        <v>0.39783603310060089</v>
      </c>
      <c r="E52" s="50" t="s">
        <v>350</v>
      </c>
      <c r="F52" s="119">
        <f t="shared" ref="F52:K52" si="48">(F65/(F70+F71))*100%</f>
        <v>0.38533690190756348</v>
      </c>
      <c r="G52" s="119">
        <f t="shared" si="48"/>
        <v>0.41033516429363825</v>
      </c>
      <c r="H52" s="119">
        <f t="shared" si="48"/>
        <v>0.50026788437658243</v>
      </c>
      <c r="I52" s="119">
        <f t="shared" si="48"/>
        <v>0.22272773805408919</v>
      </c>
      <c r="J52" s="119">
        <f t="shared" si="48"/>
        <v>0.1730742906389971</v>
      </c>
      <c r="K52" s="120">
        <f t="shared" si="48"/>
        <v>0.81048273291138551</v>
      </c>
    </row>
    <row r="53" spans="1:11" s="43" customFormat="1" ht="13.2" x14ac:dyDescent="0.25">
      <c r="A53" s="139">
        <f t="shared" si="44"/>
        <v>3.9042259218213748E-2</v>
      </c>
      <c r="B53" s="139">
        <f t="shared" si="45"/>
        <v>1.916265100171382</v>
      </c>
      <c r="C53" s="160">
        <f t="shared" si="46"/>
        <v>0.77121607121005542</v>
      </c>
      <c r="D53" s="160">
        <f t="shared" si="47"/>
        <v>0.50070304440322344</v>
      </c>
      <c r="E53" s="50" t="s">
        <v>351</v>
      </c>
      <c r="F53" s="119">
        <f>(F66/F70)*100%</f>
        <v>1.916265100171382</v>
      </c>
      <c r="G53" s="119">
        <f t="shared" ref="G53:K53" si="49">(G66/G70)*100%</f>
        <v>1.2451801392427047</v>
      </c>
      <c r="H53" s="119">
        <f t="shared" si="49"/>
        <v>0.49709890083479907</v>
      </c>
      <c r="I53" s="119">
        <f t="shared" si="49"/>
        <v>0.50430718797164786</v>
      </c>
      <c r="J53" s="119">
        <f t="shared" si="49"/>
        <v>0.42540283982158605</v>
      </c>
      <c r="K53" s="120">
        <f t="shared" si="49"/>
        <v>3.9042259218213748E-2</v>
      </c>
    </row>
    <row r="54" spans="1:11" s="43" customFormat="1" ht="13.2" x14ac:dyDescent="0.25">
      <c r="A54" s="139">
        <f t="shared" si="44"/>
        <v>0.23771575079498214</v>
      </c>
      <c r="B54" s="139">
        <f t="shared" si="45"/>
        <v>0.57089958331700097</v>
      </c>
      <c r="C54" s="160">
        <f t="shared" si="46"/>
        <v>0.35093590892092985</v>
      </c>
      <c r="D54" s="160">
        <f t="shared" si="47"/>
        <v>0.30653029813117727</v>
      </c>
      <c r="E54" s="50" t="s">
        <v>342</v>
      </c>
      <c r="F54" s="119">
        <f>(F67/SUM(F72:F74))*100%</f>
        <v>0.27744018050936747</v>
      </c>
      <c r="G54" s="119">
        <f t="shared" ref="G54:K54" si="50">(G67/SUM(G72:G74))*100%</f>
        <v>0.23771575079498214</v>
      </c>
      <c r="H54" s="119">
        <f t="shared" si="50"/>
        <v>0.28162775973628762</v>
      </c>
      <c r="I54" s="119">
        <f t="shared" si="50"/>
        <v>0.33143283652606687</v>
      </c>
      <c r="J54" s="119">
        <f t="shared" si="50"/>
        <v>0.40649934264187365</v>
      </c>
      <c r="K54" s="120">
        <f t="shared" si="50"/>
        <v>0.57089958331700097</v>
      </c>
    </row>
    <row r="55" spans="1:11" s="43" customFormat="1" ht="13.2" x14ac:dyDescent="0.25">
      <c r="A55" s="139">
        <f t="shared" si="44"/>
        <v>0</v>
      </c>
      <c r="B55" s="139">
        <f t="shared" si="45"/>
        <v>0</v>
      </c>
      <c r="C55" s="160" t="e">
        <f t="shared" si="46"/>
        <v>#DIV/0!</v>
      </c>
      <c r="D55" s="160" t="e">
        <f t="shared" si="47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0.31184659927434499</v>
      </c>
      <c r="B57" s="139">
        <f t="shared" si="45"/>
        <v>1.3304568374231087</v>
      </c>
      <c r="C57" s="160">
        <f t="shared" si="46"/>
        <v>0.59982700098874775</v>
      </c>
      <c r="D57" s="160">
        <f t="shared" si="47"/>
        <v>0.44388600501256215</v>
      </c>
      <c r="E57" s="50" t="s">
        <v>346</v>
      </c>
      <c r="F57" s="119">
        <f>((F74-F78)/F78)*100%</f>
        <v>0.38396845911657318</v>
      </c>
      <c r="G57" s="119">
        <f t="shared" ref="G57:K57" si="51">((G74-G78)/G78)*100%</f>
        <v>0.31184659927434499</v>
      </c>
      <c r="H57" s="119">
        <f t="shared" si="51"/>
        <v>0.39203597237123605</v>
      </c>
      <c r="I57" s="119">
        <f t="shared" si="51"/>
        <v>0.49573603765388818</v>
      </c>
      <c r="J57" s="119">
        <f t="shared" si="51"/>
        <v>0.68491810009333565</v>
      </c>
      <c r="K57" s="120">
        <f t="shared" si="51"/>
        <v>1.3304568374231087</v>
      </c>
    </row>
    <row r="58" spans="1:11" s="43" customFormat="1" ht="13.2" x14ac:dyDescent="0.25">
      <c r="A58" s="139">
        <f t="shared" si="44"/>
        <v>1.1035744823023629E-2</v>
      </c>
      <c r="B58" s="139">
        <f t="shared" si="45"/>
        <v>9.2189301442045707E-2</v>
      </c>
      <c r="C58" s="155">
        <f t="shared" si="46"/>
        <v>4.4906746218000802E-2</v>
      </c>
      <c r="D58" s="156">
        <f t="shared" si="47"/>
        <v>3.1190684416794241E-2</v>
      </c>
      <c r="E58" s="50" t="s">
        <v>356</v>
      </c>
      <c r="F58" s="71">
        <f>F68/(F70+F71+F72+F73+F74+F75)</f>
        <v>1.1035744823023629E-2</v>
      </c>
      <c r="G58" s="71">
        <f t="shared" ref="G58:K58" si="52">G68/(G70+G71+G72+G73+G74)</f>
        <v>3.5030672231052308E-2</v>
      </c>
      <c r="H58" s="71">
        <f t="shared" si="52"/>
        <v>7.8035693590965932E-2</v>
      </c>
      <c r="I58" s="71">
        <f t="shared" si="52"/>
        <v>2.7350696602536171E-2</v>
      </c>
      <c r="J58" s="71">
        <f t="shared" si="52"/>
        <v>2.5798368618381064E-2</v>
      </c>
      <c r="K58" s="72">
        <f t="shared" si="52"/>
        <v>9.2189301442045707E-2</v>
      </c>
    </row>
    <row r="59" spans="1:11" s="43" customFormat="1" ht="13.2" x14ac:dyDescent="0.25">
      <c r="A59" s="139">
        <f t="shared" si="44"/>
        <v>5.9120388066469963E-3</v>
      </c>
      <c r="B59" s="139">
        <f t="shared" si="45"/>
        <v>9.0230792515159128E-2</v>
      </c>
      <c r="C59" s="155">
        <f t="shared" si="46"/>
        <v>3.8736380613863163E-2</v>
      </c>
      <c r="D59" s="156">
        <f t="shared" si="47"/>
        <v>2.4535791294509036E-2</v>
      </c>
      <c r="E59" s="50" t="s">
        <v>361</v>
      </c>
      <c r="F59" s="71">
        <f>F69/(F70+F71+F72+F73+F74+F75)</f>
        <v>5.9120388066469963E-3</v>
      </c>
      <c r="G59" s="71">
        <f t="shared" ref="G59:K59" si="53">G69/(G70+G71+G72+G73+G74+G75)</f>
        <v>2.857081013468675E-2</v>
      </c>
      <c r="H59" s="71">
        <f t="shared" si="53"/>
        <v>6.9646068002892289E-2</v>
      </c>
      <c r="I59" s="71">
        <f t="shared" si="53"/>
        <v>2.0500772454331323E-2</v>
      </c>
      <c r="J59" s="71">
        <f t="shared" si="53"/>
        <v>1.7557801769462499E-2</v>
      </c>
      <c r="K59" s="72">
        <f t="shared" si="53"/>
        <v>9.0230792515159128E-2</v>
      </c>
    </row>
    <row r="60" spans="1:11" s="43" customFormat="1" ht="26.4" x14ac:dyDescent="0.25">
      <c r="A60" s="139">
        <f t="shared" si="44"/>
        <v>4.1603573304933146E-2</v>
      </c>
      <c r="B60" s="139">
        <f t="shared" si="45"/>
        <v>0.15829240830150701</v>
      </c>
      <c r="C60" s="160">
        <f t="shared" si="46"/>
        <v>0.10725703260257979</v>
      </c>
      <c r="D60" s="160">
        <f t="shared" si="47"/>
        <v>0.11779867897801971</v>
      </c>
      <c r="E60" s="50" t="s">
        <v>372</v>
      </c>
      <c r="F60" s="119">
        <f>F65/F79*100%</f>
        <v>0.12278536750018433</v>
      </c>
      <c r="G60" s="119">
        <f t="shared" ref="G60:K60" si="54">G65/G79*100%</f>
        <v>0.15829240830150701</v>
      </c>
      <c r="H60" s="119">
        <f t="shared" si="54"/>
        <v>0.15666193939660292</v>
      </c>
      <c r="I60" s="119">
        <f t="shared" si="54"/>
        <v>4.1603573304933146E-2</v>
      </c>
      <c r="J60" s="119">
        <f t="shared" si="54"/>
        <v>5.1386916656396248E-2</v>
      </c>
      <c r="K60" s="120">
        <f t="shared" si="54"/>
        <v>0.1128119904558551</v>
      </c>
    </row>
    <row r="61" spans="1:11" s="43" customFormat="1" ht="13.2" x14ac:dyDescent="0.25">
      <c r="A61" s="139">
        <f t="shared" si="44"/>
        <v>1.4556543581889243E-2</v>
      </c>
      <c r="B61" s="139">
        <f t="shared" si="45"/>
        <v>0.12780900725708605</v>
      </c>
      <c r="C61" s="155">
        <f t="shared" si="46"/>
        <v>5.9944866618547678E-2</v>
      </c>
      <c r="D61" s="156">
        <f t="shared" si="47"/>
        <v>4.5999524930902619E-2</v>
      </c>
      <c r="E61" s="50" t="s">
        <v>373</v>
      </c>
      <c r="F61" s="71">
        <f>F69/F79</f>
        <v>1.4556543581889243E-2</v>
      </c>
      <c r="G61" s="71">
        <f t="shared" ref="G61:K61" si="55">G69/G79</f>
        <v>6.540239917883231E-2</v>
      </c>
      <c r="H61" s="71">
        <f t="shared" si="55"/>
        <v>0.12780900725708605</v>
      </c>
      <c r="I61" s="71">
        <f t="shared" si="55"/>
        <v>2.6596650682972935E-2</v>
      </c>
      <c r="J61" s="71">
        <f t="shared" si="55"/>
        <v>2.3105659930495927E-2</v>
      </c>
      <c r="K61" s="72">
        <f t="shared" si="55"/>
        <v>0.10219893908000963</v>
      </c>
    </row>
    <row r="62" spans="1:11" s="43" customFormat="1" ht="13.2" x14ac:dyDescent="0.25">
      <c r="A62" s="139">
        <f t="shared" si="44"/>
        <v>1.1747106609458385E-2</v>
      </c>
      <c r="B62" s="139">
        <f t="shared" si="45"/>
        <v>0.55913582390284822</v>
      </c>
      <c r="C62" s="155">
        <f t="shared" si="46"/>
        <v>0.19322896147387189</v>
      </c>
      <c r="D62" s="156">
        <f t="shared" si="47"/>
        <v>0.17849411021396994</v>
      </c>
      <c r="E62" s="50" t="s">
        <v>374</v>
      </c>
      <c r="F62" s="71">
        <f>F69/F80</f>
        <v>1.8405583537236481E-2</v>
      </c>
      <c r="G62" s="71">
        <f>G66/G80</f>
        <v>0.55913582390284822</v>
      </c>
      <c r="H62" s="71">
        <f>H66/H80</f>
        <v>0.19546317386369896</v>
      </c>
      <c r="I62" s="71">
        <f>I66/I80</f>
        <v>0.16152504656424094</v>
      </c>
      <c r="J62" s="71">
        <f>J66/J80</f>
        <v>0.21309703436574834</v>
      </c>
      <c r="K62" s="72">
        <f>K66/K80</f>
        <v>1.1747106609458385E-2</v>
      </c>
    </row>
    <row r="63" spans="1:11" s="43" customFormat="1" ht="13.8" thickBot="1" x14ac:dyDescent="0.3">
      <c r="A63" s="139">
        <f t="shared" si="44"/>
        <v>6.4871486631706582E-2</v>
      </c>
      <c r="B63" s="139">
        <f t="shared" si="45"/>
        <v>0.19364020011238137</v>
      </c>
      <c r="C63" s="155">
        <f t="shared" si="46"/>
        <v>0.14386575450792013</v>
      </c>
      <c r="D63" s="156">
        <f t="shared" si="47"/>
        <v>0.17100593239742473</v>
      </c>
      <c r="E63" s="51" t="s">
        <v>302</v>
      </c>
      <c r="F63" s="73">
        <f t="shared" ref="F63:K63" si="56">F65/(F80+F81)</f>
        <v>0.15525226342101292</v>
      </c>
      <c r="G63" s="73">
        <f t="shared" si="56"/>
        <v>0.19109330055165796</v>
      </c>
      <c r="H63" s="73">
        <f t="shared" si="56"/>
        <v>0.18675960137383657</v>
      </c>
      <c r="I63" s="73">
        <f t="shared" si="56"/>
        <v>6.4871486631706582E-2</v>
      </c>
      <c r="J63" s="73">
        <f t="shared" si="56"/>
        <v>7.1577674956925283E-2</v>
      </c>
      <c r="K63" s="74">
        <f t="shared" si="56"/>
        <v>0.19364020011238137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126001.88</v>
      </c>
      <c r="G65" s="76">
        <f t="shared" ref="G65:K65" si="57">G97</f>
        <v>155835.87</v>
      </c>
      <c r="H65" s="76">
        <f t="shared" si="57"/>
        <v>144085.18</v>
      </c>
      <c r="I65" s="76">
        <f t="shared" si="57"/>
        <v>43926.83</v>
      </c>
      <c r="J65" s="76">
        <f t="shared" si="57"/>
        <v>51105.47</v>
      </c>
      <c r="K65" s="76">
        <f t="shared" si="57"/>
        <v>137665.89000000001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610283.85</v>
      </c>
      <c r="G66" s="76">
        <f t="shared" ref="G66:K66" si="58">G95</f>
        <v>445439.25</v>
      </c>
      <c r="H66" s="76">
        <f t="shared" si="58"/>
        <v>143131.66</v>
      </c>
      <c r="I66" s="76">
        <f t="shared" si="58"/>
        <v>99292.78</v>
      </c>
      <c r="J66" s="76">
        <f t="shared" si="58"/>
        <v>125010.98</v>
      </c>
      <c r="K66" s="76">
        <f t="shared" si="58"/>
        <v>6621.37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610283.85</v>
      </c>
      <c r="G67" s="76">
        <f t="shared" ref="G67:K67" si="59">G92</f>
        <v>445439.25</v>
      </c>
      <c r="H67" s="76">
        <f t="shared" si="59"/>
        <v>394217.68</v>
      </c>
      <c r="I67" s="76">
        <f t="shared" si="59"/>
        <v>388629.56</v>
      </c>
      <c r="J67" s="76">
        <f t="shared" si="59"/>
        <v>411982.47</v>
      </c>
      <c r="K67" s="76">
        <f t="shared" si="59"/>
        <v>692111.43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27883.87</v>
      </c>
      <c r="G68" s="76">
        <f t="shared" ref="G68:K68" si="60">G102</f>
        <v>78945.42</v>
      </c>
      <c r="H68" s="76">
        <f t="shared" si="60"/>
        <v>131708.54999999999</v>
      </c>
      <c r="I68" s="76">
        <f t="shared" si="60"/>
        <v>37464.879999999997</v>
      </c>
      <c r="J68" s="76">
        <f t="shared" si="60"/>
        <v>33764.11</v>
      </c>
      <c r="K68" s="76">
        <f t="shared" si="60"/>
        <v>127421.65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14937.87</v>
      </c>
      <c r="G69" s="76">
        <f t="shared" ref="G69:K69" si="61">G104</f>
        <v>64387.42</v>
      </c>
      <c r="H69" s="76">
        <f t="shared" si="61"/>
        <v>117548.55</v>
      </c>
      <c r="I69" s="76">
        <f t="shared" si="61"/>
        <v>28081.88</v>
      </c>
      <c r="J69" s="76">
        <f t="shared" si="61"/>
        <v>22979.11</v>
      </c>
      <c r="K69" s="76">
        <f t="shared" si="61"/>
        <v>124714.65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318475.69</v>
      </c>
      <c r="G70" s="76">
        <f t="shared" ref="G70:K70" si="62">G93</f>
        <v>357730.77</v>
      </c>
      <c r="H70" s="76">
        <f t="shared" si="62"/>
        <v>287933.96999999997</v>
      </c>
      <c r="I70" s="76">
        <f t="shared" si="62"/>
        <v>196889.48</v>
      </c>
      <c r="J70" s="76">
        <f t="shared" si="62"/>
        <v>293864.94</v>
      </c>
      <c r="K70" s="76">
        <f t="shared" si="62"/>
        <v>169594.95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8515.7800000000007</v>
      </c>
      <c r="G71" s="76">
        <f t="shared" ref="G71:K71" si="63">G98</f>
        <v>22046.26</v>
      </c>
      <c r="H71" s="76">
        <f t="shared" si="63"/>
        <v>82.08</v>
      </c>
      <c r="I71" s="76">
        <f t="shared" si="63"/>
        <v>332.61</v>
      </c>
      <c r="J71" s="76">
        <f t="shared" si="63"/>
        <v>1415.6</v>
      </c>
      <c r="K71" s="76">
        <f t="shared" si="63"/>
        <v>261.70999999999998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0</v>
      </c>
      <c r="G72" s="76">
        <f t="shared" ref="G72:K74" si="64">G85</f>
        <v>0</v>
      </c>
      <c r="H72" s="76">
        <f t="shared" si="64"/>
        <v>0</v>
      </c>
      <c r="I72" s="76">
        <f t="shared" si="64"/>
        <v>0</v>
      </c>
      <c r="J72" s="76">
        <f t="shared" si="64"/>
        <v>0</v>
      </c>
      <c r="K72" s="76">
        <f t="shared" si="64"/>
        <v>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2199695.2599999998</v>
      </c>
      <c r="G74" s="76">
        <f t="shared" si="64"/>
        <v>1873831.45</v>
      </c>
      <c r="H74" s="76">
        <f t="shared" si="64"/>
        <v>1399782.75</v>
      </c>
      <c r="I74" s="76">
        <f t="shared" si="64"/>
        <v>1172574.1000000001</v>
      </c>
      <c r="J74" s="76">
        <f t="shared" si="64"/>
        <v>1013488.65</v>
      </c>
      <c r="K74" s="76">
        <f t="shared" si="64"/>
        <v>1212317.28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0</v>
      </c>
      <c r="G76" s="76">
        <f t="shared" ref="G76:K78" si="66">G89</f>
        <v>0</v>
      </c>
      <c r="H76" s="76">
        <f t="shared" si="66"/>
        <v>0</v>
      </c>
      <c r="I76" s="76">
        <f t="shared" si="66"/>
        <v>0</v>
      </c>
      <c r="J76" s="76">
        <f t="shared" si="66"/>
        <v>0</v>
      </c>
      <c r="K76" s="76">
        <f t="shared" si="66"/>
        <v>0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1589411.41</v>
      </c>
      <c r="G78" s="76">
        <f t="shared" si="66"/>
        <v>1428392.2</v>
      </c>
      <c r="H78" s="76">
        <f t="shared" si="66"/>
        <v>1005565.07</v>
      </c>
      <c r="I78" s="76">
        <f t="shared" si="66"/>
        <v>783944.54</v>
      </c>
      <c r="J78" s="76">
        <f t="shared" si="66"/>
        <v>601506.18000000005</v>
      </c>
      <c r="K78" s="76">
        <f t="shared" si="66"/>
        <v>520205.85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1026196.22</v>
      </c>
      <c r="G79" s="76">
        <f t="shared" ref="G79:K79" si="67">G120</f>
        <v>984481.01</v>
      </c>
      <c r="H79" s="76">
        <f t="shared" si="67"/>
        <v>919720.39</v>
      </c>
      <c r="I79" s="76">
        <f t="shared" si="67"/>
        <v>1055842.72</v>
      </c>
      <c r="J79" s="76">
        <f t="shared" si="67"/>
        <v>994522.99</v>
      </c>
      <c r="K79" s="76">
        <f t="shared" si="67"/>
        <v>1220312.57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811594.48</v>
      </c>
      <c r="G80" s="76">
        <f t="shared" ref="G80:K80" si="68">G122</f>
        <v>796656.61</v>
      </c>
      <c r="H80" s="76">
        <f t="shared" si="68"/>
        <v>732269.19</v>
      </c>
      <c r="I80" s="76">
        <f t="shared" si="68"/>
        <v>614720.64</v>
      </c>
      <c r="J80" s="76">
        <f t="shared" si="68"/>
        <v>586638.76</v>
      </c>
      <c r="K80" s="76">
        <f t="shared" si="68"/>
        <v>563659.65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18839.64</v>
      </c>
      <c r="H81" s="76">
        <f t="shared" si="69"/>
        <v>39231.599999999999</v>
      </c>
      <c r="I81" s="76">
        <f t="shared" si="69"/>
        <v>62415.53</v>
      </c>
      <c r="J81" s="76">
        <f t="shared" si="69"/>
        <v>127347.41</v>
      </c>
      <c r="K81" s="76">
        <f t="shared" si="69"/>
        <v>147276.87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2199695.2599999998</v>
      </c>
      <c r="G84" s="90">
        <v>1873831.45</v>
      </c>
      <c r="H84" s="90">
        <v>1399782.75</v>
      </c>
      <c r="I84" s="90">
        <v>1172574.1000000001</v>
      </c>
      <c r="J84" s="90">
        <v>1013488.65</v>
      </c>
      <c r="K84" s="90">
        <v>1212317.28</v>
      </c>
    </row>
    <row r="85" spans="3:11" x14ac:dyDescent="0.3">
      <c r="E85" s="11" t="s">
        <v>3</v>
      </c>
      <c r="F85" s="90"/>
      <c r="G85" s="90"/>
      <c r="H85" s="90"/>
      <c r="I85" s="90"/>
      <c r="J85" s="90"/>
      <c r="K85" s="90"/>
    </row>
    <row r="86" spans="3:11" x14ac:dyDescent="0.3">
      <c r="E86" s="11" t="s">
        <v>4</v>
      </c>
      <c r="F86" s="90"/>
      <c r="G86" s="90"/>
      <c r="H86" s="90"/>
      <c r="I86" s="90"/>
      <c r="J86" s="90"/>
      <c r="K86" s="90"/>
    </row>
    <row r="87" spans="3:11" x14ac:dyDescent="0.3">
      <c r="E87" s="11" t="s">
        <v>5</v>
      </c>
      <c r="F87" s="90">
        <v>2199695.2599999998</v>
      </c>
      <c r="G87" s="90">
        <v>1873831.45</v>
      </c>
      <c r="H87" s="90">
        <v>1399782.75</v>
      </c>
      <c r="I87" s="90">
        <v>1172574.1000000001</v>
      </c>
      <c r="J87" s="90">
        <v>1013488.65</v>
      </c>
      <c r="K87" s="90">
        <v>1212317.28</v>
      </c>
    </row>
    <row r="88" spans="3:11" x14ac:dyDescent="0.3">
      <c r="E88" s="11" t="s">
        <v>6</v>
      </c>
      <c r="F88" s="90">
        <v>1589411.41</v>
      </c>
      <c r="G88" s="90">
        <v>1428392.2</v>
      </c>
      <c r="H88" s="90">
        <v>1005565.07</v>
      </c>
      <c r="I88" s="90">
        <v>783944.54</v>
      </c>
      <c r="J88" s="90">
        <v>601506.18000000005</v>
      </c>
      <c r="K88" s="90">
        <v>520205.85</v>
      </c>
    </row>
    <row r="89" spans="3:11" x14ac:dyDescent="0.3">
      <c r="E89" s="11" t="s">
        <v>7</v>
      </c>
      <c r="F89" s="90"/>
      <c r="G89" s="90"/>
      <c r="H89" s="90"/>
      <c r="I89" s="90"/>
      <c r="J89" s="90"/>
      <c r="K89" s="90"/>
    </row>
    <row r="90" spans="3:11" x14ac:dyDescent="0.3">
      <c r="E90" s="11" t="s">
        <v>8</v>
      </c>
      <c r="F90" s="90"/>
      <c r="G90" s="90"/>
      <c r="H90" s="90"/>
      <c r="I90" s="90"/>
      <c r="J90" s="90"/>
      <c r="K90" s="90"/>
    </row>
    <row r="91" spans="3:11" x14ac:dyDescent="0.3">
      <c r="E91" s="11" t="s">
        <v>9</v>
      </c>
      <c r="F91" s="90">
        <v>1589411.41</v>
      </c>
      <c r="G91" s="90">
        <v>1428392.2</v>
      </c>
      <c r="H91" s="90">
        <v>1005565.07</v>
      </c>
      <c r="I91" s="90">
        <v>783944.54</v>
      </c>
      <c r="J91" s="90">
        <v>601506.18000000005</v>
      </c>
      <c r="K91" s="90">
        <v>520205.85</v>
      </c>
    </row>
    <row r="92" spans="3:11" x14ac:dyDescent="0.3">
      <c r="E92" s="11" t="s">
        <v>10</v>
      </c>
      <c r="F92" s="90">
        <v>610283.85</v>
      </c>
      <c r="G92" s="90">
        <v>445439.25</v>
      </c>
      <c r="H92" s="90">
        <v>394217.68</v>
      </c>
      <c r="I92" s="90">
        <v>388629.56</v>
      </c>
      <c r="J92" s="90">
        <v>411982.47</v>
      </c>
      <c r="K92" s="90">
        <v>692111.43</v>
      </c>
    </row>
    <row r="93" spans="3:11" x14ac:dyDescent="0.3">
      <c r="E93" s="11" t="s">
        <v>11</v>
      </c>
      <c r="F93" s="90">
        <v>318475.69</v>
      </c>
      <c r="G93" s="90">
        <v>357730.77</v>
      </c>
      <c r="H93" s="90">
        <v>287933.96999999997</v>
      </c>
      <c r="I93" s="90">
        <v>196889.48</v>
      </c>
      <c r="J93" s="90">
        <v>293864.94</v>
      </c>
      <c r="K93" s="90">
        <v>169594.95</v>
      </c>
    </row>
    <row r="94" spans="3:11" x14ac:dyDescent="0.3">
      <c r="E94" s="11" t="s">
        <v>12</v>
      </c>
      <c r="F94" s="90">
        <v>192473.81</v>
      </c>
      <c r="G94" s="90">
        <v>201894.9</v>
      </c>
      <c r="H94" s="90">
        <v>144802.31</v>
      </c>
      <c r="I94" s="90">
        <v>97596.7</v>
      </c>
      <c r="J94" s="90">
        <v>168853.96</v>
      </c>
      <c r="K94" s="90">
        <v>162973.57999999999</v>
      </c>
    </row>
    <row r="95" spans="3:11" x14ac:dyDescent="0.3">
      <c r="E95" s="11" t="s">
        <v>13</v>
      </c>
      <c r="F95" s="90">
        <v>610283.85</v>
      </c>
      <c r="G95" s="90">
        <v>445439.25</v>
      </c>
      <c r="H95" s="90">
        <v>143131.66</v>
      </c>
      <c r="I95" s="90">
        <v>99292.78</v>
      </c>
      <c r="J95" s="90">
        <v>125010.98</v>
      </c>
      <c r="K95" s="90">
        <v>6621.37</v>
      </c>
    </row>
    <row r="96" spans="3:11" x14ac:dyDescent="0.3">
      <c r="E96" s="11" t="s">
        <v>14</v>
      </c>
      <c r="F96" s="90">
        <v>697558.93</v>
      </c>
      <c r="G96" s="90">
        <v>514379.14</v>
      </c>
      <c r="H96" s="90">
        <v>393264.16</v>
      </c>
      <c r="I96" s="90">
        <v>443995.51</v>
      </c>
      <c r="J96" s="90">
        <v>485887.98</v>
      </c>
      <c r="K96" s="90">
        <v>561066.91</v>
      </c>
    </row>
    <row r="97" spans="5:11" x14ac:dyDescent="0.3">
      <c r="E97" s="11" t="s">
        <v>15</v>
      </c>
      <c r="F97" s="90">
        <v>126001.88</v>
      </c>
      <c r="G97" s="90">
        <v>155835.87</v>
      </c>
      <c r="H97" s="90">
        <v>144085.18</v>
      </c>
      <c r="I97" s="90">
        <v>43926.83</v>
      </c>
      <c r="J97" s="90">
        <v>51105.47</v>
      </c>
      <c r="K97" s="90">
        <v>137665.89000000001</v>
      </c>
    </row>
    <row r="98" spans="5:11" x14ac:dyDescent="0.3">
      <c r="E98" s="11" t="s">
        <v>16</v>
      </c>
      <c r="F98" s="90">
        <v>8515.7800000000007</v>
      </c>
      <c r="G98" s="90">
        <v>22046.26</v>
      </c>
      <c r="H98" s="107">
        <v>82.08</v>
      </c>
      <c r="I98" s="107">
        <v>332.61</v>
      </c>
      <c r="J98" s="90">
        <v>1415.6</v>
      </c>
      <c r="K98" s="107">
        <v>261.70999999999998</v>
      </c>
    </row>
    <row r="99" spans="5:11" x14ac:dyDescent="0.3">
      <c r="E99" s="11" t="s">
        <v>17</v>
      </c>
      <c r="F99" s="90">
        <v>12527.81</v>
      </c>
      <c r="G99" s="90">
        <v>15292.83</v>
      </c>
      <c r="H99" s="90">
        <v>8664.1299999999992</v>
      </c>
      <c r="I99" s="90">
        <v>1868.58</v>
      </c>
      <c r="J99" s="107">
        <v>509.88</v>
      </c>
      <c r="K99" s="107">
        <v>88.36</v>
      </c>
    </row>
    <row r="100" spans="5:11" x14ac:dyDescent="0.3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3">
      <c r="E101" s="11" t="s">
        <v>19</v>
      </c>
      <c r="F101" s="90">
        <v>6830.9</v>
      </c>
      <c r="G101" s="90">
        <v>14703.99</v>
      </c>
      <c r="H101" s="90">
        <v>3794.58</v>
      </c>
      <c r="I101" s="90">
        <v>4925.9799999999996</v>
      </c>
      <c r="J101" s="90">
        <v>18247.080000000002</v>
      </c>
      <c r="K101" s="90">
        <v>10417.59</v>
      </c>
    </row>
    <row r="102" spans="5:11" x14ac:dyDescent="0.3">
      <c r="E102" s="11" t="s">
        <v>20</v>
      </c>
      <c r="F102" s="90">
        <v>27883.87</v>
      </c>
      <c r="G102" s="90">
        <v>78945.42</v>
      </c>
      <c r="H102" s="90">
        <v>131708.54999999999</v>
      </c>
      <c r="I102" s="90">
        <v>37464.879999999997</v>
      </c>
      <c r="J102" s="90">
        <v>33764.11</v>
      </c>
      <c r="K102" s="90">
        <v>127421.65</v>
      </c>
    </row>
    <row r="103" spans="5:11" x14ac:dyDescent="0.3">
      <c r="E103" s="11" t="s">
        <v>21</v>
      </c>
      <c r="F103" s="90">
        <v>12946</v>
      </c>
      <c r="G103" s="90">
        <v>14558</v>
      </c>
      <c r="H103" s="90">
        <v>14160</v>
      </c>
      <c r="I103" s="90">
        <v>9383</v>
      </c>
      <c r="J103" s="90">
        <v>10785</v>
      </c>
      <c r="K103" s="90">
        <v>2707</v>
      </c>
    </row>
    <row r="104" spans="5:11" x14ac:dyDescent="0.3">
      <c r="E104" s="11" t="s">
        <v>22</v>
      </c>
      <c r="F104" s="90">
        <v>14937.87</v>
      </c>
      <c r="G104" s="90">
        <v>64387.42</v>
      </c>
      <c r="H104" s="90">
        <v>117548.55</v>
      </c>
      <c r="I104" s="90">
        <v>28081.88</v>
      </c>
      <c r="J104" s="90">
        <v>22979.11</v>
      </c>
      <c r="K104" s="90">
        <v>124714.65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21">
        <v>2023</v>
      </c>
      <c r="G107" s="21">
        <v>2022</v>
      </c>
      <c r="H107" s="21">
        <v>2021</v>
      </c>
      <c r="I107" s="21">
        <v>2020</v>
      </c>
      <c r="J107" s="21">
        <v>2019</v>
      </c>
      <c r="K107" s="21">
        <v>2018</v>
      </c>
    </row>
    <row r="108" spans="5:11" x14ac:dyDescent="0.3">
      <c r="E108" s="7" t="s">
        <v>26</v>
      </c>
      <c r="F108" s="90">
        <v>817543.84</v>
      </c>
      <c r="G108" s="90">
        <v>801144.45</v>
      </c>
      <c r="H108" s="90">
        <v>745760.01</v>
      </c>
      <c r="I108" s="90">
        <v>745256.55</v>
      </c>
      <c r="J108" s="90">
        <v>750732.95</v>
      </c>
      <c r="K108" s="90">
        <v>780145.98</v>
      </c>
    </row>
    <row r="109" spans="5:11" ht="15" customHeight="1" x14ac:dyDescent="0.3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817543.84</v>
      </c>
      <c r="G110" s="90">
        <v>801144.45</v>
      </c>
      <c r="H110" s="90">
        <v>745760.01</v>
      </c>
      <c r="I110" s="90">
        <v>745256.55</v>
      </c>
      <c r="J110" s="90">
        <v>750732.95</v>
      </c>
      <c r="K110" s="90">
        <v>780145.98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3">
      <c r="E114" s="7" t="s">
        <v>33</v>
      </c>
      <c r="F114" s="90">
        <v>208652.38</v>
      </c>
      <c r="G114" s="90">
        <v>183336.36</v>
      </c>
      <c r="H114" s="90">
        <v>173960.38</v>
      </c>
      <c r="I114" s="90">
        <v>310586.17</v>
      </c>
      <c r="J114" s="90">
        <v>243790.04</v>
      </c>
      <c r="K114" s="90">
        <v>440166.59</v>
      </c>
    </row>
    <row r="115" spans="5:11" x14ac:dyDescent="0.3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3">
      <c r="E116" s="8" t="s">
        <v>35</v>
      </c>
      <c r="F116" s="90">
        <v>136769.46</v>
      </c>
      <c r="G116" s="90">
        <v>166264.14000000001</v>
      </c>
      <c r="H116" s="90">
        <v>141992.38</v>
      </c>
      <c r="I116" s="90">
        <v>257430.12</v>
      </c>
      <c r="J116" s="90">
        <v>200357.04</v>
      </c>
      <c r="K116" s="90">
        <v>399134.49</v>
      </c>
    </row>
    <row r="117" spans="5:11" ht="15" customHeight="1" x14ac:dyDescent="0.3">
      <c r="E117" s="8" t="s">
        <v>36</v>
      </c>
      <c r="F117" s="90">
        <v>65929</v>
      </c>
      <c r="G117" s="90">
        <v>13348.43</v>
      </c>
      <c r="H117" s="90">
        <v>24967.7</v>
      </c>
      <c r="I117" s="90">
        <v>48641.9</v>
      </c>
      <c r="J117" s="90">
        <v>37316.620000000003</v>
      </c>
      <c r="K117" s="90">
        <v>84930.59</v>
      </c>
    </row>
    <row r="118" spans="5:11" ht="15" customHeight="1" x14ac:dyDescent="0.3">
      <c r="E118" s="8" t="s">
        <v>37</v>
      </c>
      <c r="F118" s="90">
        <v>5953.92</v>
      </c>
      <c r="G118" s="90">
        <v>3723.99</v>
      </c>
      <c r="H118" s="90">
        <v>7000.3</v>
      </c>
      <c r="I118" s="90">
        <v>4418.1499999999996</v>
      </c>
      <c r="J118" s="90">
        <v>6020.38</v>
      </c>
      <c r="K118" s="90">
        <v>6005.91</v>
      </c>
    </row>
    <row r="119" spans="5:11" ht="15" customHeight="1" x14ac:dyDescent="0.3">
      <c r="E119" s="7" t="s">
        <v>38</v>
      </c>
      <c r="F119" s="90"/>
      <c r="G119" s="90"/>
      <c r="H119" s="90"/>
      <c r="I119" s="90"/>
      <c r="J119" s="90"/>
      <c r="K119" s="90"/>
    </row>
    <row r="120" spans="5:11" x14ac:dyDescent="0.3">
      <c r="E120" s="7" t="s">
        <v>39</v>
      </c>
      <c r="F120" s="90">
        <v>1026196.22</v>
      </c>
      <c r="G120" s="90">
        <v>984481.01</v>
      </c>
      <c r="H120" s="90">
        <v>919720.39</v>
      </c>
      <c r="I120" s="90">
        <v>1055842.72</v>
      </c>
      <c r="J120" s="90">
        <v>994522.99</v>
      </c>
      <c r="K120" s="90">
        <v>1220312.57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811594.48</v>
      </c>
      <c r="G122" s="90">
        <v>796656.61</v>
      </c>
      <c r="H122" s="90">
        <v>732269.19</v>
      </c>
      <c r="I122" s="90">
        <v>614720.64</v>
      </c>
      <c r="J122" s="90">
        <v>586638.76</v>
      </c>
      <c r="K122" s="90">
        <v>563659.65</v>
      </c>
    </row>
    <row r="123" spans="5:11" x14ac:dyDescent="0.3">
      <c r="E123" s="8" t="s">
        <v>42</v>
      </c>
      <c r="F123" s="90"/>
      <c r="G123" s="90"/>
      <c r="H123" s="90"/>
      <c r="I123" s="90"/>
      <c r="J123" s="90"/>
      <c r="K123" s="90"/>
    </row>
    <row r="124" spans="5:11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3">
      <c r="E125" s="8" t="s">
        <v>44</v>
      </c>
      <c r="F125" s="90">
        <v>796656.61</v>
      </c>
      <c r="G125" s="90">
        <v>732269.19</v>
      </c>
      <c r="H125" s="90">
        <v>614720.64</v>
      </c>
      <c r="I125" s="90">
        <v>586638.76</v>
      </c>
      <c r="J125" s="90">
        <v>563659.65</v>
      </c>
      <c r="K125" s="90">
        <v>438945</v>
      </c>
    </row>
    <row r="126" spans="5:11" x14ac:dyDescent="0.3">
      <c r="E126" s="8" t="s">
        <v>45</v>
      </c>
      <c r="F126" s="90">
        <v>14937.87</v>
      </c>
      <c r="G126" s="90">
        <v>64387.42</v>
      </c>
      <c r="H126" s="90">
        <v>117548.55</v>
      </c>
      <c r="I126" s="90">
        <v>28081.88</v>
      </c>
      <c r="J126" s="90">
        <v>22979.11</v>
      </c>
      <c r="K126" s="90">
        <v>124714.65</v>
      </c>
    </row>
    <row r="127" spans="5:11" ht="15" customHeight="1" x14ac:dyDescent="0.3">
      <c r="E127" s="18" t="s">
        <v>91</v>
      </c>
      <c r="F127" s="90">
        <v>214601.74</v>
      </c>
      <c r="G127" s="90">
        <v>187824.4</v>
      </c>
      <c r="H127" s="90">
        <v>187451.2</v>
      </c>
      <c r="I127" s="90">
        <v>441122.08</v>
      </c>
      <c r="J127" s="90">
        <v>407884.23</v>
      </c>
      <c r="K127" s="90">
        <v>656652.92000000004</v>
      </c>
    </row>
    <row r="128" spans="5:11" ht="15" customHeight="1" x14ac:dyDescent="0.3">
      <c r="E128" s="8" t="s">
        <v>46</v>
      </c>
      <c r="F128" s="90"/>
      <c r="G128" s="90"/>
      <c r="H128" s="90">
        <v>0</v>
      </c>
      <c r="I128" s="90">
        <v>0</v>
      </c>
      <c r="J128" s="90">
        <v>0</v>
      </c>
      <c r="K128" s="90"/>
    </row>
    <row r="129" spans="5:11" ht="15" customHeight="1" x14ac:dyDescent="0.3">
      <c r="E129" s="17" t="s">
        <v>89</v>
      </c>
      <c r="F129" s="90"/>
      <c r="G129" s="90">
        <v>18839.64</v>
      </c>
      <c r="H129" s="90">
        <v>39231.599999999999</v>
      </c>
      <c r="I129" s="90">
        <v>62415.53</v>
      </c>
      <c r="J129" s="90">
        <v>127347.41</v>
      </c>
      <c r="K129" s="90">
        <v>147276.87</v>
      </c>
    </row>
    <row r="130" spans="5:11" ht="15" customHeight="1" x14ac:dyDescent="0.3">
      <c r="E130" s="17" t="s">
        <v>90</v>
      </c>
      <c r="F130" s="90">
        <v>214601.74</v>
      </c>
      <c r="G130" s="90">
        <v>168984.76</v>
      </c>
      <c r="H130" s="90">
        <v>148219.6</v>
      </c>
      <c r="I130" s="90">
        <v>378706.55</v>
      </c>
      <c r="J130" s="90">
        <v>280536.82</v>
      </c>
      <c r="K130" s="90">
        <v>509376.05</v>
      </c>
    </row>
    <row r="131" spans="5:11" ht="15" customHeight="1" x14ac:dyDescent="0.3">
      <c r="E131" s="17" t="s">
        <v>88</v>
      </c>
      <c r="F131" s="90"/>
      <c r="G131" s="90"/>
      <c r="H131" s="90">
        <v>0</v>
      </c>
      <c r="I131" s="90">
        <v>0</v>
      </c>
      <c r="J131" s="90">
        <v>0</v>
      </c>
      <c r="K131" s="90">
        <v>0</v>
      </c>
    </row>
    <row r="132" spans="5:11" x14ac:dyDescent="0.3">
      <c r="E132" s="7" t="s">
        <v>47</v>
      </c>
      <c r="F132" s="90">
        <v>1026196.22</v>
      </c>
      <c r="G132" s="90">
        <v>984481.01</v>
      </c>
      <c r="H132" s="90">
        <v>919720.39</v>
      </c>
      <c r="I132" s="90">
        <v>1055842.72</v>
      </c>
      <c r="J132" s="90">
        <v>994522.99</v>
      </c>
      <c r="K132" s="90">
        <v>1220312.57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EA13-B2EF-4933-8B9D-9F8E11D0FC52}">
  <sheetPr>
    <tabColor theme="5" tint="0.79998168889431442"/>
  </sheetPr>
  <dimension ref="A1:Z83"/>
  <sheetViews>
    <sheetView showGridLines="0" tabSelected="1" zoomScale="110" zoomScaleNormal="110" zoomScaleSheetLayoutView="100" workbookViewId="0">
      <selection activeCell="K5" sqref="K5:L5"/>
    </sheetView>
  </sheetViews>
  <sheetFormatPr defaultColWidth="9.109375" defaultRowHeight="13.2" x14ac:dyDescent="0.3"/>
  <cols>
    <col min="1" max="1" width="28.77734375" style="194" customWidth="1"/>
    <col min="2" max="2" width="8" style="194" customWidth="1"/>
    <col min="3" max="3" width="8.33203125" style="194" customWidth="1"/>
    <col min="4" max="6" width="13.6640625" style="194" customWidth="1"/>
    <col min="7" max="12" width="13.109375" style="194" customWidth="1"/>
    <col min="13" max="13" width="12.6640625" style="194" customWidth="1"/>
    <col min="14" max="14" width="12.33203125" style="194" customWidth="1"/>
    <col min="15" max="16" width="9.109375" style="194"/>
    <col min="17" max="17" width="9.109375" style="194" hidden="1" customWidth="1"/>
    <col min="18" max="25" width="0" style="194" hidden="1" customWidth="1"/>
    <col min="26" max="16384" width="9.109375" style="194"/>
  </cols>
  <sheetData>
    <row r="1" spans="1:26" ht="27" customHeight="1" x14ac:dyDescent="0.3">
      <c r="A1" s="269" t="s">
        <v>602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19"/>
      <c r="N1" s="219"/>
      <c r="P1" s="238"/>
      <c r="Q1" s="220"/>
      <c r="R1" s="220"/>
      <c r="S1" s="220"/>
      <c r="T1" s="220"/>
      <c r="U1" s="220"/>
      <c r="V1" s="220"/>
      <c r="W1" s="220"/>
      <c r="X1" s="220"/>
      <c r="Y1" s="220"/>
      <c r="Z1" s="238"/>
    </row>
    <row r="2" spans="1:26" ht="43.95" customHeight="1" x14ac:dyDescent="0.3">
      <c r="A2" s="270" t="s">
        <v>638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21"/>
      <c r="N2" s="221"/>
    </row>
    <row r="3" spans="1:26" ht="7.2" customHeight="1" x14ac:dyDescent="0.3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</row>
    <row r="4" spans="1:26" ht="15" customHeight="1" x14ac:dyDescent="0.3">
      <c r="A4" s="271" t="s">
        <v>436</v>
      </c>
      <c r="B4" s="271"/>
      <c r="C4" s="271"/>
      <c r="D4" s="271"/>
      <c r="E4" s="271"/>
      <c r="F4" s="271"/>
      <c r="G4" s="271"/>
      <c r="H4" s="271"/>
      <c r="I4" s="271"/>
      <c r="J4" s="271"/>
      <c r="K4" s="271" t="s">
        <v>441</v>
      </c>
      <c r="L4" s="271"/>
      <c r="M4" s="299"/>
      <c r="N4" s="299"/>
    </row>
    <row r="5" spans="1:26" ht="34.950000000000003" customHeight="1" x14ac:dyDescent="0.3">
      <c r="A5" s="267"/>
      <c r="B5" s="267"/>
      <c r="C5" s="267"/>
      <c r="D5" s="267"/>
      <c r="E5" s="267"/>
      <c r="F5" s="267"/>
      <c r="G5" s="267"/>
      <c r="H5" s="267"/>
      <c r="I5" s="267"/>
      <c r="J5" s="267"/>
      <c r="K5" s="300"/>
      <c r="L5" s="300"/>
      <c r="M5" s="299"/>
      <c r="N5" s="299"/>
    </row>
    <row r="6" spans="1:26" ht="25.2" customHeight="1" x14ac:dyDescent="0.3">
      <c r="A6" s="301" t="s">
        <v>664</v>
      </c>
      <c r="B6" s="301"/>
      <c r="C6" s="301"/>
      <c r="D6" s="307" t="s">
        <v>613</v>
      </c>
      <c r="E6" s="307"/>
      <c r="F6" s="222"/>
      <c r="G6" s="222"/>
      <c r="H6" s="222"/>
      <c r="I6" s="222"/>
      <c r="J6" s="222"/>
      <c r="K6" s="222"/>
      <c r="L6" s="223"/>
      <c r="M6" s="325" t="s">
        <v>604</v>
      </c>
      <c r="N6" s="325"/>
    </row>
    <row r="7" spans="1:26" ht="25.2" customHeight="1" x14ac:dyDescent="0.3">
      <c r="A7" s="302" t="s">
        <v>605</v>
      </c>
      <c r="B7" s="302"/>
      <c r="C7" s="302"/>
      <c r="D7" s="231" t="str">
        <f>IF($D$6=$Q$8,R8,IF($D$6=$Q$9,R9,IF($D$6=$Q$10,R10,IF($D$6=$Q$11,R11))))</f>
        <v>sprawozdawcze</v>
      </c>
      <c r="E7" s="231" t="str">
        <f>IF($D$6=$Q$8,S8,IF($D$6=$Q$9,S9,IF($D$6=$Q$10,S10,IF($D$6=$Q$11,S11))))</f>
        <v>sprawozdawcze</v>
      </c>
      <c r="F7" s="231" t="str">
        <f>IF($D$6=$Q$8,T8,IF($D$6=$Q$9,T9,IF($D$6=$Q$10,T10,IF($D$6=$Q$11,T11))))</f>
        <v>prognostyczne</v>
      </c>
      <c r="G7" s="231" t="str">
        <f>IF($D$6=$Q$8,U8,IF($D$6=$Q$9,U9,IF($D$6=$Q$10,U10,IF($D$6=$Q$11,U11))))</f>
        <v>prognostyczne</v>
      </c>
      <c r="H7" s="231" t="str">
        <f>IF($D$6=$Q$8,V8,IF($D$6=$Q$9,V9,IF($D$6=$Q$10,V10,IF($D$6=$Q$11,V11))))</f>
        <v>prognostyczne</v>
      </c>
      <c r="I7" s="231" t="str">
        <f>IF($D$6=$Q$8,V8,IF($D$6=$Q$9,V9,IF($D$6=$Q$10,V10,IF($D$6=$Q$11,V11))))</f>
        <v>prognostyczne</v>
      </c>
      <c r="J7" s="231" t="str">
        <f>IF($D$6=$Q$8,W8,IF($D$6=$Q$9,W9,IF($D$6=$Q$10,W10,IF($D$6=$Q$11,W11))))</f>
        <v>prognostyczne</v>
      </c>
      <c r="K7" s="231" t="str">
        <f>IF($D$6=$Q$8,X8,IF($D$6=$Q$9,X9,IF($D$6=$Q$10,X10,IF($D$6=$Q$11,X11))))</f>
        <v>prognostyczne</v>
      </c>
      <c r="L7" s="231" t="str">
        <f>IF($D$6=$Q$8,Y8,IF($D$6=$Q$9,Y9,IF($D$6=$Q$10,Y10,IF($D$6=$Q$11,Y11))))</f>
        <v>prognostyczne</v>
      </c>
      <c r="M7" s="282"/>
      <c r="N7" s="282"/>
    </row>
    <row r="8" spans="1:26" s="196" customFormat="1" ht="12" customHeight="1" x14ac:dyDescent="0.3">
      <c r="A8" s="291" t="s">
        <v>432</v>
      </c>
      <c r="B8" s="291"/>
      <c r="C8" s="291"/>
      <c r="D8" s="232" t="s">
        <v>606</v>
      </c>
      <c r="E8" s="232" t="s">
        <v>607</v>
      </c>
      <c r="F8" s="232" t="s">
        <v>608</v>
      </c>
      <c r="G8" s="232" t="s">
        <v>609</v>
      </c>
      <c r="H8" s="232">
        <v>2025</v>
      </c>
      <c r="I8" s="232">
        <v>2026</v>
      </c>
      <c r="J8" s="232">
        <v>2027</v>
      </c>
      <c r="K8" s="232">
        <v>2028</v>
      </c>
      <c r="L8" s="232">
        <v>2029</v>
      </c>
      <c r="M8" s="282"/>
      <c r="N8" s="282"/>
      <c r="Q8" s="194" t="s">
        <v>610</v>
      </c>
      <c r="R8" s="194" t="s">
        <v>611</v>
      </c>
      <c r="S8" s="194" t="s">
        <v>611</v>
      </c>
      <c r="T8" s="194" t="s">
        <v>611</v>
      </c>
      <c r="U8" s="194" t="s">
        <v>611</v>
      </c>
      <c r="V8" s="194" t="s">
        <v>611</v>
      </c>
      <c r="W8" s="194" t="s">
        <v>611</v>
      </c>
      <c r="X8" s="194" t="s">
        <v>611</v>
      </c>
      <c r="Y8" s="194" t="s">
        <v>611</v>
      </c>
      <c r="Z8" s="194"/>
    </row>
    <row r="9" spans="1:26" s="196" customFormat="1" ht="12" customHeight="1" x14ac:dyDescent="0.3">
      <c r="A9" s="264" t="s">
        <v>213</v>
      </c>
      <c r="B9" s="264"/>
      <c r="C9" s="264"/>
      <c r="D9" s="233">
        <f>SUM(D10:D11)</f>
        <v>0</v>
      </c>
      <c r="E9" s="233">
        <f t="shared" ref="E9:L9" si="0">SUM(E10:E11)</f>
        <v>0</v>
      </c>
      <c r="F9" s="233">
        <f t="shared" si="0"/>
        <v>0</v>
      </c>
      <c r="G9" s="233">
        <f>SUM(G10:G11)</f>
        <v>0</v>
      </c>
      <c r="H9" s="233">
        <f>SUM(H10:H11)</f>
        <v>0</v>
      </c>
      <c r="I9" s="233">
        <f t="shared" si="0"/>
        <v>0</v>
      </c>
      <c r="J9" s="233">
        <f t="shared" si="0"/>
        <v>0</v>
      </c>
      <c r="K9" s="233">
        <f t="shared" si="0"/>
        <v>0</v>
      </c>
      <c r="L9" s="233">
        <f t="shared" si="0"/>
        <v>0</v>
      </c>
      <c r="M9" s="293"/>
      <c r="N9" s="282"/>
      <c r="Q9" s="194" t="s">
        <v>603</v>
      </c>
      <c r="R9" s="194" t="s">
        <v>612</v>
      </c>
      <c r="S9" s="194" t="s">
        <v>611</v>
      </c>
      <c r="T9" s="194" t="s">
        <v>611</v>
      </c>
      <c r="U9" s="194" t="s">
        <v>611</v>
      </c>
      <c r="V9" s="194" t="s">
        <v>611</v>
      </c>
      <c r="W9" s="194" t="s">
        <v>611</v>
      </c>
      <c r="X9" s="194" t="s">
        <v>611</v>
      </c>
      <c r="Y9" s="194" t="s">
        <v>611</v>
      </c>
      <c r="Z9" s="194"/>
    </row>
    <row r="10" spans="1:26" s="196" customFormat="1" ht="12" customHeight="1" x14ac:dyDescent="0.3">
      <c r="A10" s="265" t="s">
        <v>65</v>
      </c>
      <c r="B10" s="265"/>
      <c r="C10" s="265"/>
      <c r="D10" s="226"/>
      <c r="E10" s="226"/>
      <c r="F10" s="226"/>
      <c r="G10" s="226"/>
      <c r="H10" s="233">
        <f>SUM(D10:G10)</f>
        <v>0</v>
      </c>
      <c r="I10" s="226"/>
      <c r="J10" s="226"/>
      <c r="K10" s="226"/>
      <c r="L10" s="226"/>
      <c r="M10" s="293"/>
      <c r="N10" s="282"/>
      <c r="Q10" s="194" t="s">
        <v>613</v>
      </c>
      <c r="R10" s="194" t="s">
        <v>612</v>
      </c>
      <c r="S10" s="194" t="s">
        <v>612</v>
      </c>
      <c r="T10" s="194" t="s">
        <v>611</v>
      </c>
      <c r="U10" s="194" t="s">
        <v>611</v>
      </c>
      <c r="V10" s="194" t="s">
        <v>611</v>
      </c>
      <c r="W10" s="194" t="s">
        <v>611</v>
      </c>
      <c r="X10" s="194" t="s">
        <v>611</v>
      </c>
      <c r="Y10" s="194" t="s">
        <v>611</v>
      </c>
      <c r="Z10" s="194"/>
    </row>
    <row r="11" spans="1:26" s="196" customFormat="1" ht="12" customHeight="1" x14ac:dyDescent="0.3">
      <c r="A11" s="265" t="s">
        <v>614</v>
      </c>
      <c r="B11" s="265"/>
      <c r="C11" s="265"/>
      <c r="D11" s="226"/>
      <c r="E11" s="226"/>
      <c r="F11" s="226"/>
      <c r="G11" s="226"/>
      <c r="H11" s="233">
        <f>SUM(D11:G11)</f>
        <v>0</v>
      </c>
      <c r="I11" s="226"/>
      <c r="J11" s="226"/>
      <c r="K11" s="226"/>
      <c r="L11" s="226"/>
      <c r="M11" s="293"/>
      <c r="N11" s="282"/>
      <c r="Q11" s="194" t="s">
        <v>615</v>
      </c>
      <c r="R11" s="194" t="s">
        <v>612</v>
      </c>
      <c r="S11" s="194" t="s">
        <v>612</v>
      </c>
      <c r="T11" s="194" t="s">
        <v>612</v>
      </c>
      <c r="U11" s="194" t="s">
        <v>611</v>
      </c>
      <c r="V11" s="194" t="s">
        <v>611</v>
      </c>
      <c r="W11" s="194" t="s">
        <v>611</v>
      </c>
      <c r="X11" s="194" t="s">
        <v>611</v>
      </c>
      <c r="Y11" s="194" t="s">
        <v>611</v>
      </c>
      <c r="Z11" s="194"/>
    </row>
    <row r="12" spans="1:26" s="196" customFormat="1" ht="12" customHeight="1" x14ac:dyDescent="0.3">
      <c r="A12" s="264" t="s">
        <v>219</v>
      </c>
      <c r="B12" s="264"/>
      <c r="C12" s="264"/>
      <c r="D12" s="233">
        <f>SUM(D13:D20)</f>
        <v>0</v>
      </c>
      <c r="E12" s="233">
        <f t="shared" ref="E12:L12" si="1">SUM(E13:E20)</f>
        <v>0</v>
      </c>
      <c r="F12" s="233">
        <f t="shared" si="1"/>
        <v>0</v>
      </c>
      <c r="G12" s="233">
        <f>SUM(G13:G20)</f>
        <v>0</v>
      </c>
      <c r="H12" s="233">
        <f>SUM(H13:H20)</f>
        <v>0</v>
      </c>
      <c r="I12" s="233">
        <f t="shared" si="1"/>
        <v>0</v>
      </c>
      <c r="J12" s="233">
        <f t="shared" si="1"/>
        <v>0</v>
      </c>
      <c r="K12" s="233">
        <f t="shared" si="1"/>
        <v>0</v>
      </c>
      <c r="L12" s="233">
        <f t="shared" si="1"/>
        <v>0</v>
      </c>
      <c r="M12" s="293"/>
      <c r="N12" s="282"/>
    </row>
    <row r="13" spans="1:26" s="196" customFormat="1" ht="12" customHeight="1" x14ac:dyDescent="0.3">
      <c r="A13" s="265" t="s">
        <v>460</v>
      </c>
      <c r="B13" s="265"/>
      <c r="C13" s="265"/>
      <c r="D13" s="226"/>
      <c r="E13" s="226"/>
      <c r="F13" s="226"/>
      <c r="G13" s="226"/>
      <c r="H13" s="233">
        <f>SUM(D13:G13)</f>
        <v>0</v>
      </c>
      <c r="I13" s="226"/>
      <c r="J13" s="226"/>
      <c r="K13" s="226"/>
      <c r="L13" s="226"/>
      <c r="M13" s="293"/>
      <c r="N13" s="282"/>
    </row>
    <row r="14" spans="1:26" s="196" customFormat="1" ht="12" customHeight="1" x14ac:dyDescent="0.3">
      <c r="A14" s="265" t="s">
        <v>461</v>
      </c>
      <c r="B14" s="265"/>
      <c r="C14" s="265"/>
      <c r="D14" s="226"/>
      <c r="E14" s="226"/>
      <c r="F14" s="226"/>
      <c r="G14" s="226"/>
      <c r="H14" s="233">
        <f>SUM(D14:G14)</f>
        <v>0</v>
      </c>
      <c r="I14" s="226"/>
      <c r="J14" s="226"/>
      <c r="K14" s="226"/>
      <c r="L14" s="226"/>
      <c r="M14" s="293"/>
      <c r="N14" s="282"/>
    </row>
    <row r="15" spans="1:26" s="196" customFormat="1" ht="12" customHeight="1" x14ac:dyDescent="0.3">
      <c r="A15" s="265" t="s">
        <v>462</v>
      </c>
      <c r="B15" s="265"/>
      <c r="C15" s="265"/>
      <c r="D15" s="226"/>
      <c r="E15" s="226"/>
      <c r="F15" s="226"/>
      <c r="G15" s="226"/>
      <c r="H15" s="233">
        <f>SUM(D15:G15)</f>
        <v>0</v>
      </c>
      <c r="I15" s="226"/>
      <c r="J15" s="226"/>
      <c r="K15" s="226"/>
      <c r="L15" s="226"/>
      <c r="M15" s="293"/>
      <c r="N15" s="282"/>
    </row>
    <row r="16" spans="1:26" s="196" customFormat="1" ht="12" customHeight="1" x14ac:dyDescent="0.3">
      <c r="A16" s="265" t="s">
        <v>463</v>
      </c>
      <c r="B16" s="265"/>
      <c r="C16" s="265"/>
      <c r="D16" s="226"/>
      <c r="E16" s="226"/>
      <c r="F16" s="226"/>
      <c r="G16" s="226"/>
      <c r="H16" s="233">
        <f>SUM(D16:G16)</f>
        <v>0</v>
      </c>
      <c r="I16" s="226"/>
      <c r="J16" s="226"/>
      <c r="K16" s="226"/>
      <c r="L16" s="226"/>
      <c r="M16" s="293"/>
      <c r="N16" s="282"/>
    </row>
    <row r="17" spans="1:14" s="196" customFormat="1" ht="12" customHeight="1" x14ac:dyDescent="0.3">
      <c r="A17" s="265" t="s">
        <v>465</v>
      </c>
      <c r="B17" s="265"/>
      <c r="C17" s="265"/>
      <c r="D17" s="226"/>
      <c r="E17" s="226"/>
      <c r="F17" s="226"/>
      <c r="G17" s="226"/>
      <c r="H17" s="233">
        <f>SUM(D17:G17)</f>
        <v>0</v>
      </c>
      <c r="I17" s="226"/>
      <c r="J17" s="226"/>
      <c r="K17" s="226"/>
      <c r="L17" s="226"/>
      <c r="M17" s="293"/>
      <c r="N17" s="282"/>
    </row>
    <row r="18" spans="1:14" s="196" customFormat="1" ht="12" customHeight="1" x14ac:dyDescent="0.3">
      <c r="A18" s="265" t="s">
        <v>466</v>
      </c>
      <c r="B18" s="265"/>
      <c r="C18" s="265"/>
      <c r="D18" s="226"/>
      <c r="E18" s="226"/>
      <c r="F18" s="226"/>
      <c r="G18" s="226"/>
      <c r="H18" s="233">
        <f>SUM(D18:G18)</f>
        <v>0</v>
      </c>
      <c r="I18" s="226"/>
      <c r="J18" s="226"/>
      <c r="K18" s="226"/>
      <c r="L18" s="226"/>
      <c r="M18" s="293"/>
      <c r="N18" s="282"/>
    </row>
    <row r="19" spans="1:14" s="196" customFormat="1" ht="12" customHeight="1" x14ac:dyDescent="0.3">
      <c r="A19" s="265" t="s">
        <v>468</v>
      </c>
      <c r="B19" s="265"/>
      <c r="C19" s="265"/>
      <c r="D19" s="226"/>
      <c r="E19" s="226"/>
      <c r="F19" s="226"/>
      <c r="G19" s="226"/>
      <c r="H19" s="233">
        <f>SUM(D19:G19)</f>
        <v>0</v>
      </c>
      <c r="I19" s="226"/>
      <c r="J19" s="226"/>
      <c r="K19" s="226"/>
      <c r="L19" s="226"/>
      <c r="M19" s="293"/>
      <c r="N19" s="282"/>
    </row>
    <row r="20" spans="1:14" s="196" customFormat="1" ht="12" customHeight="1" x14ac:dyDescent="0.3">
      <c r="A20" s="265" t="s">
        <v>469</v>
      </c>
      <c r="B20" s="265"/>
      <c r="C20" s="265"/>
      <c r="D20" s="226"/>
      <c r="E20" s="226"/>
      <c r="F20" s="226"/>
      <c r="G20" s="226"/>
      <c r="H20" s="233">
        <f>SUM(D20:G20)</f>
        <v>0</v>
      </c>
      <c r="I20" s="226"/>
      <c r="J20" s="226"/>
      <c r="K20" s="226"/>
      <c r="L20" s="226"/>
      <c r="M20" s="255"/>
      <c r="N20" s="256"/>
    </row>
    <row r="21" spans="1:14" s="196" customFormat="1" ht="12" customHeight="1" x14ac:dyDescent="0.3">
      <c r="A21" s="264" t="s">
        <v>230</v>
      </c>
      <c r="B21" s="264"/>
      <c r="C21" s="264"/>
      <c r="D21" s="234">
        <f>D9-D12</f>
        <v>0</v>
      </c>
      <c r="E21" s="234">
        <f t="shared" ref="E21:L21" si="2">E9-E12</f>
        <v>0</v>
      </c>
      <c r="F21" s="234">
        <f t="shared" si="2"/>
        <v>0</v>
      </c>
      <c r="G21" s="234">
        <f t="shared" si="2"/>
        <v>0</v>
      </c>
      <c r="H21" s="234">
        <f>H9-H12</f>
        <v>0</v>
      </c>
      <c r="I21" s="234">
        <f t="shared" si="2"/>
        <v>0</v>
      </c>
      <c r="J21" s="234">
        <f t="shared" si="2"/>
        <v>0</v>
      </c>
      <c r="K21" s="234">
        <f t="shared" si="2"/>
        <v>0</v>
      </c>
      <c r="L21" s="234">
        <f t="shared" si="2"/>
        <v>0</v>
      </c>
      <c r="M21" s="293"/>
      <c r="N21" s="282"/>
    </row>
    <row r="22" spans="1:14" s="196" customFormat="1" ht="12" customHeight="1" x14ac:dyDescent="0.3">
      <c r="A22" s="264" t="s">
        <v>231</v>
      </c>
      <c r="B22" s="264"/>
      <c r="C22" s="264"/>
      <c r="D22" s="235">
        <f>D23+D28</f>
        <v>0</v>
      </c>
      <c r="E22" s="235">
        <f t="shared" ref="E22:L22" si="3">E23+E28</f>
        <v>0</v>
      </c>
      <c r="F22" s="235">
        <f t="shared" si="3"/>
        <v>0</v>
      </c>
      <c r="G22" s="235">
        <f t="shared" si="3"/>
        <v>0</v>
      </c>
      <c r="H22" s="235">
        <f>H23+H28</f>
        <v>0</v>
      </c>
      <c r="I22" s="235">
        <f t="shared" si="3"/>
        <v>0</v>
      </c>
      <c r="J22" s="235">
        <f t="shared" si="3"/>
        <v>0</v>
      </c>
      <c r="K22" s="235">
        <f t="shared" si="3"/>
        <v>0</v>
      </c>
      <c r="L22" s="235">
        <f t="shared" si="3"/>
        <v>0</v>
      </c>
      <c r="M22" s="293"/>
      <c r="N22" s="282"/>
    </row>
    <row r="23" spans="1:14" s="196" customFormat="1" ht="12" customHeight="1" x14ac:dyDescent="0.3">
      <c r="A23" s="294" t="s">
        <v>639</v>
      </c>
      <c r="B23" s="294"/>
      <c r="C23" s="294"/>
      <c r="D23" s="234">
        <f>SUM(D24:D27)</f>
        <v>0</v>
      </c>
      <c r="E23" s="234">
        <f t="shared" ref="E23:L23" si="4">SUM(E24:E27)</f>
        <v>0</v>
      </c>
      <c r="F23" s="234">
        <f t="shared" si="4"/>
        <v>0</v>
      </c>
      <c r="G23" s="234">
        <f t="shared" si="4"/>
        <v>0</v>
      </c>
      <c r="H23" s="234">
        <f>SUM(H24:H27)</f>
        <v>0</v>
      </c>
      <c r="I23" s="234">
        <f t="shared" si="4"/>
        <v>0</v>
      </c>
      <c r="J23" s="234">
        <f t="shared" si="4"/>
        <v>0</v>
      </c>
      <c r="K23" s="234">
        <f t="shared" si="4"/>
        <v>0</v>
      </c>
      <c r="L23" s="234">
        <f t="shared" si="4"/>
        <v>0</v>
      </c>
      <c r="M23" s="293"/>
      <c r="N23" s="282"/>
    </row>
    <row r="24" spans="1:14" s="196" customFormat="1" ht="12" customHeight="1" x14ac:dyDescent="0.3">
      <c r="A24" s="295" t="s">
        <v>640</v>
      </c>
      <c r="B24" s="295"/>
      <c r="C24" s="295"/>
      <c r="D24" s="226"/>
      <c r="E24" s="226"/>
      <c r="F24" s="226"/>
      <c r="G24" s="226"/>
      <c r="H24" s="233">
        <f t="shared" ref="H24:H28" si="5">SUM(D24:G24)</f>
        <v>0</v>
      </c>
      <c r="I24" s="226"/>
      <c r="J24" s="226"/>
      <c r="K24" s="226"/>
      <c r="L24" s="226"/>
      <c r="M24" s="225"/>
      <c r="N24" s="224"/>
    </row>
    <row r="25" spans="1:14" s="196" customFormat="1" ht="12" customHeight="1" x14ac:dyDescent="0.3">
      <c r="A25" s="295" t="s">
        <v>641</v>
      </c>
      <c r="B25" s="295"/>
      <c r="C25" s="295"/>
      <c r="D25" s="226"/>
      <c r="E25" s="226"/>
      <c r="F25" s="226"/>
      <c r="G25" s="226"/>
      <c r="H25" s="233">
        <f t="shared" si="5"/>
        <v>0</v>
      </c>
      <c r="I25" s="226"/>
      <c r="J25" s="226"/>
      <c r="K25" s="226"/>
      <c r="L25" s="226"/>
      <c r="M25" s="225"/>
      <c r="N25" s="224"/>
    </row>
    <row r="26" spans="1:14" s="196" customFormat="1" ht="12" customHeight="1" x14ac:dyDescent="0.3">
      <c r="A26" s="295" t="s">
        <v>642</v>
      </c>
      <c r="B26" s="295"/>
      <c r="C26" s="295"/>
      <c r="D26" s="226"/>
      <c r="E26" s="226"/>
      <c r="F26" s="226"/>
      <c r="G26" s="226"/>
      <c r="H26" s="233">
        <f t="shared" si="5"/>
        <v>0</v>
      </c>
      <c r="I26" s="226"/>
      <c r="J26" s="226"/>
      <c r="K26" s="226"/>
      <c r="L26" s="226"/>
      <c r="M26" s="225"/>
      <c r="N26" s="224"/>
    </row>
    <row r="27" spans="1:14" s="196" customFormat="1" ht="12" customHeight="1" x14ac:dyDescent="0.3">
      <c r="A27" s="296" t="s">
        <v>643</v>
      </c>
      <c r="B27" s="297"/>
      <c r="C27" s="298"/>
      <c r="D27" s="226"/>
      <c r="E27" s="226"/>
      <c r="F27" s="226"/>
      <c r="G27" s="226"/>
      <c r="H27" s="233">
        <f t="shared" si="5"/>
        <v>0</v>
      </c>
      <c r="I27" s="226"/>
      <c r="J27" s="226"/>
      <c r="K27" s="226"/>
      <c r="L27" s="226"/>
      <c r="M27" s="225"/>
      <c r="N27" s="224"/>
    </row>
    <row r="28" spans="1:14" s="196" customFormat="1" ht="12" customHeight="1" x14ac:dyDescent="0.3">
      <c r="A28" s="265" t="s">
        <v>51</v>
      </c>
      <c r="B28" s="265"/>
      <c r="C28" s="265"/>
      <c r="D28" s="226"/>
      <c r="E28" s="226"/>
      <c r="F28" s="226"/>
      <c r="G28" s="226"/>
      <c r="H28" s="233">
        <f t="shared" si="5"/>
        <v>0</v>
      </c>
      <c r="I28" s="226"/>
      <c r="J28" s="226"/>
      <c r="K28" s="226"/>
      <c r="L28" s="226"/>
      <c r="M28" s="293"/>
      <c r="N28" s="282"/>
    </row>
    <row r="29" spans="1:14" s="196" customFormat="1" ht="12" customHeight="1" x14ac:dyDescent="0.3">
      <c r="A29" s="264" t="s">
        <v>236</v>
      </c>
      <c r="B29" s="264"/>
      <c r="C29" s="264"/>
      <c r="D29" s="235">
        <f>D30+D34</f>
        <v>0</v>
      </c>
      <c r="E29" s="235">
        <f t="shared" ref="E29:L29" si="6">E30+E34</f>
        <v>0</v>
      </c>
      <c r="F29" s="235">
        <f t="shared" si="6"/>
        <v>0</v>
      </c>
      <c r="G29" s="235">
        <f>G30+G34</f>
        <v>0</v>
      </c>
      <c r="H29" s="235">
        <f>H30+H34</f>
        <v>0</v>
      </c>
      <c r="I29" s="235">
        <f t="shared" si="6"/>
        <v>0</v>
      </c>
      <c r="J29" s="235">
        <f t="shared" si="6"/>
        <v>0</v>
      </c>
      <c r="K29" s="235">
        <f t="shared" si="6"/>
        <v>0</v>
      </c>
      <c r="L29" s="235">
        <f t="shared" si="6"/>
        <v>0</v>
      </c>
      <c r="M29" s="293"/>
      <c r="N29" s="282"/>
    </row>
    <row r="30" spans="1:14" s="196" customFormat="1" ht="12" customHeight="1" x14ac:dyDescent="0.3">
      <c r="A30" s="294" t="s">
        <v>616</v>
      </c>
      <c r="B30" s="294"/>
      <c r="C30" s="294"/>
      <c r="D30" s="234">
        <f>SUM(D31:D33)</f>
        <v>0</v>
      </c>
      <c r="E30" s="234">
        <f t="shared" ref="E30:L30" si="7">SUM(E31:E33)</f>
        <v>0</v>
      </c>
      <c r="F30" s="234">
        <f t="shared" si="7"/>
        <v>0</v>
      </c>
      <c r="G30" s="234">
        <f t="shared" si="7"/>
        <v>0</v>
      </c>
      <c r="H30" s="234">
        <f>SUM(H31:H33)</f>
        <v>0</v>
      </c>
      <c r="I30" s="234">
        <f t="shared" si="7"/>
        <v>0</v>
      </c>
      <c r="J30" s="234">
        <f t="shared" si="7"/>
        <v>0</v>
      </c>
      <c r="K30" s="234">
        <f t="shared" si="7"/>
        <v>0</v>
      </c>
      <c r="L30" s="234">
        <f t="shared" si="7"/>
        <v>0</v>
      </c>
      <c r="M30" s="293"/>
      <c r="N30" s="282"/>
    </row>
    <row r="31" spans="1:14" s="196" customFormat="1" ht="12" customHeight="1" x14ac:dyDescent="0.3">
      <c r="A31" s="295" t="s">
        <v>644</v>
      </c>
      <c r="B31" s="295"/>
      <c r="C31" s="295"/>
      <c r="D31" s="226"/>
      <c r="E31" s="226"/>
      <c r="F31" s="226"/>
      <c r="G31" s="226"/>
      <c r="H31" s="233">
        <f>SUM(D31:G31)</f>
        <v>0</v>
      </c>
      <c r="I31" s="226"/>
      <c r="J31" s="226"/>
      <c r="K31" s="226"/>
      <c r="L31" s="226"/>
      <c r="M31" s="225"/>
      <c r="N31" s="224"/>
    </row>
    <row r="32" spans="1:14" s="196" customFormat="1" ht="12" customHeight="1" x14ac:dyDescent="0.3">
      <c r="A32" s="295" t="s">
        <v>645</v>
      </c>
      <c r="B32" s="295"/>
      <c r="C32" s="295"/>
      <c r="D32" s="226"/>
      <c r="E32" s="226"/>
      <c r="F32" s="226"/>
      <c r="G32" s="226"/>
      <c r="H32" s="233">
        <f>SUM(D32:G32)</f>
        <v>0</v>
      </c>
      <c r="I32" s="226"/>
      <c r="J32" s="226"/>
      <c r="K32" s="226"/>
      <c r="L32" s="226"/>
      <c r="M32" s="225"/>
      <c r="N32" s="224"/>
    </row>
    <row r="33" spans="1:14" s="196" customFormat="1" ht="12" customHeight="1" x14ac:dyDescent="0.3">
      <c r="A33" s="295" t="s">
        <v>646</v>
      </c>
      <c r="B33" s="295"/>
      <c r="C33" s="295"/>
      <c r="D33" s="226"/>
      <c r="E33" s="226"/>
      <c r="F33" s="226"/>
      <c r="G33" s="226"/>
      <c r="H33" s="233">
        <f>SUM(D33:G33)</f>
        <v>0</v>
      </c>
      <c r="I33" s="226"/>
      <c r="J33" s="226"/>
      <c r="K33" s="226"/>
      <c r="L33" s="226"/>
      <c r="M33" s="225"/>
      <c r="N33" s="224"/>
    </row>
    <row r="34" spans="1:14" s="196" customFormat="1" ht="12" customHeight="1" x14ac:dyDescent="0.3">
      <c r="A34" s="294" t="s">
        <v>617</v>
      </c>
      <c r="B34" s="294"/>
      <c r="C34" s="294"/>
      <c r="D34" s="226"/>
      <c r="E34" s="226"/>
      <c r="F34" s="226"/>
      <c r="G34" s="226"/>
      <c r="H34" s="233">
        <f>SUM(D34:G34)</f>
        <v>0</v>
      </c>
      <c r="I34" s="226"/>
      <c r="J34" s="226"/>
      <c r="K34" s="226"/>
      <c r="L34" s="226"/>
      <c r="M34" s="293"/>
      <c r="N34" s="282"/>
    </row>
    <row r="35" spans="1:14" s="196" customFormat="1" ht="12" customHeight="1" x14ac:dyDescent="0.3">
      <c r="A35" s="264" t="s">
        <v>240</v>
      </c>
      <c r="B35" s="264"/>
      <c r="C35" s="264"/>
      <c r="D35" s="233">
        <f>D21+D22-D29</f>
        <v>0</v>
      </c>
      <c r="E35" s="233">
        <f t="shared" ref="E35:L35" si="8">E21+E22-E29</f>
        <v>0</v>
      </c>
      <c r="F35" s="233">
        <f t="shared" si="8"/>
        <v>0</v>
      </c>
      <c r="G35" s="233">
        <f t="shared" si="8"/>
        <v>0</v>
      </c>
      <c r="H35" s="233">
        <f>H21+H22-H29</f>
        <v>0</v>
      </c>
      <c r="I35" s="233">
        <f t="shared" si="8"/>
        <v>0</v>
      </c>
      <c r="J35" s="233">
        <f t="shared" si="8"/>
        <v>0</v>
      </c>
      <c r="K35" s="233">
        <f t="shared" si="8"/>
        <v>0</v>
      </c>
      <c r="L35" s="233">
        <f t="shared" si="8"/>
        <v>0</v>
      </c>
      <c r="M35" s="293"/>
      <c r="N35" s="282"/>
    </row>
    <row r="36" spans="1:14" s="196" customFormat="1" ht="12" customHeight="1" x14ac:dyDescent="0.3">
      <c r="A36" s="264" t="s">
        <v>445</v>
      </c>
      <c r="B36" s="264"/>
      <c r="C36" s="264"/>
      <c r="D36" s="233">
        <f>SUM(D37:D41)</f>
        <v>0</v>
      </c>
      <c r="E36" s="233">
        <f t="shared" ref="E36:L36" si="9">SUM(E37:E41)</f>
        <v>0</v>
      </c>
      <c r="F36" s="233">
        <f t="shared" si="9"/>
        <v>0</v>
      </c>
      <c r="G36" s="233">
        <f t="shared" si="9"/>
        <v>0</v>
      </c>
      <c r="H36" s="233">
        <f>SUM(H37:H41)</f>
        <v>0</v>
      </c>
      <c r="I36" s="233">
        <f t="shared" si="9"/>
        <v>0</v>
      </c>
      <c r="J36" s="233">
        <f t="shared" si="9"/>
        <v>0</v>
      </c>
      <c r="K36" s="233">
        <f t="shared" si="9"/>
        <v>0</v>
      </c>
      <c r="L36" s="233">
        <f t="shared" si="9"/>
        <v>0</v>
      </c>
      <c r="M36" s="293"/>
      <c r="N36" s="282"/>
    </row>
    <row r="37" spans="1:14" s="196" customFormat="1" ht="12" customHeight="1" x14ac:dyDescent="0.3">
      <c r="A37" s="265" t="s">
        <v>81</v>
      </c>
      <c r="B37" s="265"/>
      <c r="C37" s="265"/>
      <c r="D37" s="226"/>
      <c r="E37" s="226"/>
      <c r="F37" s="226"/>
      <c r="G37" s="226"/>
      <c r="H37" s="233">
        <f>SUM(D37:G37)</f>
        <v>0</v>
      </c>
      <c r="I37" s="226"/>
      <c r="J37" s="226"/>
      <c r="K37" s="226"/>
      <c r="L37" s="226"/>
      <c r="M37" s="293"/>
      <c r="N37" s="282"/>
    </row>
    <row r="38" spans="1:14" s="196" customFormat="1" ht="12" customHeight="1" x14ac:dyDescent="0.3">
      <c r="A38" s="265" t="s">
        <v>474</v>
      </c>
      <c r="B38" s="265"/>
      <c r="C38" s="265"/>
      <c r="D38" s="226"/>
      <c r="E38" s="226"/>
      <c r="F38" s="226"/>
      <c r="G38" s="226"/>
      <c r="H38" s="233">
        <f>SUM(D38:G38)</f>
        <v>0</v>
      </c>
      <c r="I38" s="226"/>
      <c r="J38" s="226"/>
      <c r="K38" s="226"/>
      <c r="L38" s="226"/>
      <c r="M38" s="293"/>
      <c r="N38" s="282"/>
    </row>
    <row r="39" spans="1:14" s="196" customFormat="1" ht="12" customHeight="1" x14ac:dyDescent="0.3">
      <c r="A39" s="265" t="s">
        <v>475</v>
      </c>
      <c r="B39" s="265"/>
      <c r="C39" s="265"/>
      <c r="D39" s="226"/>
      <c r="E39" s="226"/>
      <c r="F39" s="226"/>
      <c r="G39" s="226"/>
      <c r="H39" s="233">
        <f>SUM(D39:G39)</f>
        <v>0</v>
      </c>
      <c r="I39" s="226"/>
      <c r="J39" s="226"/>
      <c r="K39" s="226"/>
      <c r="L39" s="226"/>
      <c r="M39" s="225"/>
      <c r="N39" s="224"/>
    </row>
    <row r="40" spans="1:14" s="196" customFormat="1" ht="12" customHeight="1" x14ac:dyDescent="0.3">
      <c r="A40" s="265" t="s">
        <v>477</v>
      </c>
      <c r="B40" s="265"/>
      <c r="C40" s="265"/>
      <c r="D40" s="226"/>
      <c r="E40" s="226"/>
      <c r="F40" s="226"/>
      <c r="G40" s="226"/>
      <c r="H40" s="233">
        <f>SUM(D40:G40)</f>
        <v>0</v>
      </c>
      <c r="I40" s="226"/>
      <c r="J40" s="226"/>
      <c r="K40" s="226"/>
      <c r="L40" s="226"/>
      <c r="M40" s="293"/>
      <c r="N40" s="282"/>
    </row>
    <row r="41" spans="1:14" s="196" customFormat="1" ht="12" customHeight="1" x14ac:dyDescent="0.3">
      <c r="A41" s="265" t="s">
        <v>478</v>
      </c>
      <c r="B41" s="265"/>
      <c r="C41" s="265"/>
      <c r="D41" s="226"/>
      <c r="E41" s="226"/>
      <c r="F41" s="226"/>
      <c r="G41" s="226"/>
      <c r="H41" s="233">
        <f>SUM(D41:G41)</f>
        <v>0</v>
      </c>
      <c r="I41" s="226"/>
      <c r="J41" s="226"/>
      <c r="K41" s="226"/>
      <c r="L41" s="226"/>
      <c r="M41" s="293"/>
      <c r="N41" s="282"/>
    </row>
    <row r="42" spans="1:14" s="196" customFormat="1" ht="12" customHeight="1" x14ac:dyDescent="0.3">
      <c r="A42" s="264" t="s">
        <v>252</v>
      </c>
      <c r="B42" s="264"/>
      <c r="C42" s="264"/>
      <c r="D42" s="233">
        <f>SUM(D43:D46)</f>
        <v>0</v>
      </c>
      <c r="E42" s="233">
        <f t="shared" ref="E42:L42" si="10">SUM(E43:E46)</f>
        <v>0</v>
      </c>
      <c r="F42" s="233">
        <f t="shared" si="10"/>
        <v>0</v>
      </c>
      <c r="G42" s="233">
        <f t="shared" si="10"/>
        <v>0</v>
      </c>
      <c r="H42" s="233">
        <f>SUM(H43:H46)</f>
        <v>0</v>
      </c>
      <c r="I42" s="233">
        <f t="shared" si="10"/>
        <v>0</v>
      </c>
      <c r="J42" s="233">
        <f t="shared" si="10"/>
        <v>0</v>
      </c>
      <c r="K42" s="233">
        <f t="shared" si="10"/>
        <v>0</v>
      </c>
      <c r="L42" s="233">
        <f t="shared" si="10"/>
        <v>0</v>
      </c>
      <c r="M42" s="293"/>
      <c r="N42" s="282"/>
    </row>
    <row r="43" spans="1:14" s="196" customFormat="1" ht="12" customHeight="1" x14ac:dyDescent="0.3">
      <c r="A43" s="265" t="s">
        <v>479</v>
      </c>
      <c r="B43" s="265"/>
      <c r="C43" s="265"/>
      <c r="D43" s="226"/>
      <c r="E43" s="226"/>
      <c r="F43" s="226"/>
      <c r="G43" s="226"/>
      <c r="H43" s="233">
        <f>SUM(D43:G43)</f>
        <v>0</v>
      </c>
      <c r="I43" s="226"/>
      <c r="J43" s="226"/>
      <c r="K43" s="226"/>
      <c r="L43" s="226"/>
      <c r="M43" s="293"/>
      <c r="N43" s="282"/>
    </row>
    <row r="44" spans="1:14" s="196" customFormat="1" ht="12" x14ac:dyDescent="0.3">
      <c r="A44" s="265" t="s">
        <v>481</v>
      </c>
      <c r="B44" s="265"/>
      <c r="C44" s="265"/>
      <c r="D44" s="226"/>
      <c r="E44" s="226"/>
      <c r="F44" s="226"/>
      <c r="G44" s="226"/>
      <c r="H44" s="233">
        <f>SUM(D44:G44)</f>
        <v>0</v>
      </c>
      <c r="I44" s="226"/>
      <c r="J44" s="226"/>
      <c r="K44" s="226"/>
      <c r="L44" s="226"/>
      <c r="M44" s="293"/>
      <c r="N44" s="282"/>
    </row>
    <row r="45" spans="1:14" s="196" customFormat="1" ht="12" customHeight="1" x14ac:dyDescent="0.3">
      <c r="A45" s="265" t="s">
        <v>482</v>
      </c>
      <c r="B45" s="265"/>
      <c r="C45" s="265"/>
      <c r="D45" s="226"/>
      <c r="E45" s="226"/>
      <c r="F45" s="226"/>
      <c r="G45" s="226"/>
      <c r="H45" s="233">
        <f>SUM(D45:G45)</f>
        <v>0</v>
      </c>
      <c r="I45" s="226"/>
      <c r="J45" s="226"/>
      <c r="K45" s="226"/>
      <c r="L45" s="226"/>
      <c r="M45" s="293"/>
      <c r="N45" s="282"/>
    </row>
    <row r="46" spans="1:14" s="196" customFormat="1" ht="12" customHeight="1" x14ac:dyDescent="0.3">
      <c r="A46" s="265" t="s">
        <v>59</v>
      </c>
      <c r="B46" s="265"/>
      <c r="C46" s="265"/>
      <c r="D46" s="226"/>
      <c r="E46" s="226"/>
      <c r="F46" s="226"/>
      <c r="G46" s="226"/>
      <c r="H46" s="233">
        <f>SUM(D46:G46)</f>
        <v>0</v>
      </c>
      <c r="I46" s="226"/>
      <c r="J46" s="226"/>
      <c r="K46" s="226"/>
      <c r="L46" s="226"/>
      <c r="M46" s="293"/>
      <c r="N46" s="282"/>
    </row>
    <row r="47" spans="1:14" s="196" customFormat="1" ht="12" customHeight="1" x14ac:dyDescent="0.3">
      <c r="A47" s="264" t="s">
        <v>428</v>
      </c>
      <c r="B47" s="264"/>
      <c r="C47" s="264"/>
      <c r="D47" s="233">
        <f>D35+D36-D42</f>
        <v>0</v>
      </c>
      <c r="E47" s="233">
        <f t="shared" ref="E47:L47" si="11">E35+E36-E42</f>
        <v>0</v>
      </c>
      <c r="F47" s="233">
        <f t="shared" si="11"/>
        <v>0</v>
      </c>
      <c r="G47" s="233">
        <f t="shared" si="11"/>
        <v>0</v>
      </c>
      <c r="H47" s="233">
        <f>H35+H36-H42</f>
        <v>0</v>
      </c>
      <c r="I47" s="233">
        <f t="shared" si="11"/>
        <v>0</v>
      </c>
      <c r="J47" s="233">
        <f t="shared" si="11"/>
        <v>0</v>
      </c>
      <c r="K47" s="233">
        <f t="shared" si="11"/>
        <v>0</v>
      </c>
      <c r="L47" s="233">
        <f t="shared" si="11"/>
        <v>0</v>
      </c>
      <c r="M47" s="293"/>
      <c r="N47" s="282"/>
    </row>
    <row r="48" spans="1:14" s="196" customFormat="1" ht="12" customHeight="1" x14ac:dyDescent="0.3">
      <c r="A48" s="264" t="s">
        <v>446</v>
      </c>
      <c r="B48" s="264"/>
      <c r="C48" s="264"/>
      <c r="D48" s="226"/>
      <c r="E48" s="226"/>
      <c r="F48" s="226"/>
      <c r="G48" s="226"/>
      <c r="H48" s="233">
        <f>SUM(D48:G48)</f>
        <v>0</v>
      </c>
      <c r="I48" s="226"/>
      <c r="J48" s="226"/>
      <c r="K48" s="226"/>
      <c r="L48" s="226"/>
      <c r="M48" s="225"/>
      <c r="N48" s="224"/>
    </row>
    <row r="49" spans="1:15" s="196" customFormat="1" ht="12" x14ac:dyDescent="0.3">
      <c r="A49" s="264" t="s">
        <v>665</v>
      </c>
      <c r="B49" s="264"/>
      <c r="C49" s="264"/>
      <c r="D49" s="226"/>
      <c r="E49" s="226"/>
      <c r="F49" s="226"/>
      <c r="G49" s="226"/>
      <c r="H49" s="233">
        <f>SUM(D49:G49)</f>
        <v>0</v>
      </c>
      <c r="I49" s="226"/>
      <c r="J49" s="226"/>
      <c r="K49" s="226"/>
      <c r="L49" s="226"/>
      <c r="M49" s="225"/>
      <c r="N49" s="224"/>
    </row>
    <row r="50" spans="1:15" s="196" customFormat="1" ht="12" customHeight="1" x14ac:dyDescent="0.3">
      <c r="A50" s="264" t="s">
        <v>429</v>
      </c>
      <c r="B50" s="264"/>
      <c r="C50" s="264"/>
      <c r="D50" s="233">
        <f>D47-D48-D49</f>
        <v>0</v>
      </c>
      <c r="E50" s="233">
        <f t="shared" ref="E50:L50" si="12">E47-E48-E49</f>
        <v>0</v>
      </c>
      <c r="F50" s="233">
        <f t="shared" si="12"/>
        <v>0</v>
      </c>
      <c r="G50" s="233">
        <f t="shared" si="12"/>
        <v>0</v>
      </c>
      <c r="H50" s="233">
        <f>H47-H48-H49</f>
        <v>0</v>
      </c>
      <c r="I50" s="233">
        <f t="shared" si="12"/>
        <v>0</v>
      </c>
      <c r="J50" s="233">
        <f t="shared" si="12"/>
        <v>0</v>
      </c>
      <c r="K50" s="233">
        <f t="shared" si="12"/>
        <v>0</v>
      </c>
      <c r="L50" s="233">
        <f t="shared" si="12"/>
        <v>0</v>
      </c>
      <c r="M50" s="293"/>
      <c r="N50" s="282"/>
    </row>
    <row r="51" spans="1:15" s="196" customFormat="1" ht="12" customHeight="1" x14ac:dyDescent="0.3">
      <c r="A51" s="198"/>
      <c r="B51" s="198"/>
      <c r="C51" s="198"/>
      <c r="D51" s="199"/>
      <c r="E51" s="199"/>
      <c r="F51" s="199"/>
      <c r="G51" s="199"/>
      <c r="H51" s="199"/>
      <c r="I51" s="199"/>
      <c r="J51" s="199"/>
      <c r="K51" s="199"/>
      <c r="L51" s="199"/>
      <c r="M51" s="282"/>
      <c r="N51" s="282"/>
    </row>
    <row r="52" spans="1:15" x14ac:dyDescent="0.3">
      <c r="A52" s="291" t="s">
        <v>618</v>
      </c>
      <c r="B52" s="291"/>
      <c r="C52" s="291"/>
      <c r="D52" s="232" t="str">
        <f t="shared" ref="D52:L52" si="13">D8</f>
        <v>1Q2025</v>
      </c>
      <c r="E52" s="232" t="str">
        <f t="shared" si="13"/>
        <v>2Q2025</v>
      </c>
      <c r="F52" s="232" t="str">
        <f t="shared" si="13"/>
        <v>3Q2025</v>
      </c>
      <c r="G52" s="232" t="str">
        <f t="shared" si="13"/>
        <v>4Q2025</v>
      </c>
      <c r="H52" s="232">
        <v>2025</v>
      </c>
      <c r="I52" s="232">
        <f t="shared" si="13"/>
        <v>2026</v>
      </c>
      <c r="J52" s="232">
        <f t="shared" si="13"/>
        <v>2027</v>
      </c>
      <c r="K52" s="232">
        <f t="shared" si="13"/>
        <v>2028</v>
      </c>
      <c r="L52" s="232">
        <f t="shared" si="13"/>
        <v>2029</v>
      </c>
      <c r="M52" s="282"/>
      <c r="N52" s="282"/>
    </row>
    <row r="53" spans="1:15" ht="13.2" customHeight="1" x14ac:dyDescent="0.3">
      <c r="A53" s="310" t="s">
        <v>619</v>
      </c>
      <c r="B53" s="310"/>
      <c r="C53" s="310"/>
      <c r="D53" s="226"/>
      <c r="E53" s="226"/>
      <c r="F53" s="226"/>
      <c r="G53" s="226"/>
      <c r="H53" s="233">
        <f t="shared" ref="H53:H55" si="14">SUM(D53:G53)</f>
        <v>0</v>
      </c>
      <c r="I53" s="226"/>
      <c r="J53" s="226"/>
      <c r="K53" s="226"/>
      <c r="L53" s="226"/>
      <c r="M53" s="282"/>
      <c r="N53" s="282"/>
    </row>
    <row r="54" spans="1:15" ht="13.2" customHeight="1" x14ac:dyDescent="0.3">
      <c r="A54" s="320" t="s">
        <v>663</v>
      </c>
      <c r="B54" s="321"/>
      <c r="C54" s="322"/>
      <c r="D54" s="226"/>
      <c r="E54" s="226"/>
      <c r="F54" s="226"/>
      <c r="G54" s="226"/>
      <c r="H54" s="233">
        <f t="shared" si="14"/>
        <v>0</v>
      </c>
      <c r="I54" s="226"/>
      <c r="J54" s="226"/>
      <c r="K54" s="226"/>
      <c r="L54" s="226"/>
      <c r="M54" s="282"/>
      <c r="N54" s="282"/>
    </row>
    <row r="55" spans="1:15" ht="13.2" customHeight="1" x14ac:dyDescent="0.3">
      <c r="A55" s="310" t="s">
        <v>620</v>
      </c>
      <c r="B55" s="310"/>
      <c r="C55" s="310"/>
      <c r="D55" s="226"/>
      <c r="E55" s="226"/>
      <c r="F55" s="226"/>
      <c r="G55" s="226"/>
      <c r="H55" s="233">
        <f t="shared" si="14"/>
        <v>0</v>
      </c>
      <c r="I55" s="226"/>
      <c r="J55" s="226"/>
      <c r="K55" s="226"/>
      <c r="L55" s="226"/>
      <c r="M55" s="282"/>
      <c r="N55" s="282"/>
    </row>
    <row r="56" spans="1:15" x14ac:dyDescent="0.3">
      <c r="A56" s="227"/>
      <c r="B56" s="227"/>
      <c r="C56" s="228"/>
      <c r="D56" s="228"/>
      <c r="E56" s="228"/>
      <c r="F56" s="228"/>
      <c r="G56" s="228"/>
      <c r="H56" s="228"/>
      <c r="I56" s="228"/>
      <c r="J56" s="228"/>
      <c r="K56" s="228"/>
      <c r="M56" s="282"/>
      <c r="N56" s="282"/>
    </row>
    <row r="57" spans="1:15" ht="14.4" customHeight="1" x14ac:dyDescent="0.3">
      <c r="A57" s="291" t="s">
        <v>621</v>
      </c>
      <c r="B57" s="291"/>
      <c r="C57" s="291"/>
      <c r="D57" s="232" t="str">
        <f t="shared" ref="D57:J57" si="15">D52</f>
        <v>1Q2025</v>
      </c>
      <c r="E57" s="232" t="str">
        <f t="shared" si="15"/>
        <v>2Q2025</v>
      </c>
      <c r="F57" s="232" t="str">
        <f t="shared" si="15"/>
        <v>3Q2025</v>
      </c>
      <c r="G57" s="232" t="str">
        <f t="shared" si="15"/>
        <v>4Q2025</v>
      </c>
      <c r="H57" s="232">
        <v>2025</v>
      </c>
      <c r="I57" s="232">
        <f t="shared" si="15"/>
        <v>2026</v>
      </c>
      <c r="J57" s="232">
        <f t="shared" si="15"/>
        <v>2027</v>
      </c>
      <c r="K57" s="292" t="s">
        <v>622</v>
      </c>
      <c r="L57" s="292"/>
      <c r="M57" s="323" t="s">
        <v>623</v>
      </c>
      <c r="N57" s="324"/>
      <c r="O57" s="324"/>
    </row>
    <row r="58" spans="1:15" ht="13.2" customHeight="1" x14ac:dyDescent="0.3">
      <c r="A58" s="311" t="s">
        <v>624</v>
      </c>
      <c r="B58" s="311"/>
      <c r="C58" s="311"/>
      <c r="D58" s="226"/>
      <c r="E58" s="226"/>
      <c r="F58" s="226"/>
      <c r="G58" s="226"/>
      <c r="H58" s="233">
        <f t="shared" ref="H58:H61" si="16">SUM(D58:G58)</f>
        <v>0</v>
      </c>
      <c r="I58" s="226"/>
      <c r="J58" s="226"/>
      <c r="K58" s="313" t="s">
        <v>625</v>
      </c>
      <c r="L58" s="313"/>
      <c r="M58" s="323"/>
      <c r="N58" s="324"/>
      <c r="O58" s="324"/>
    </row>
    <row r="59" spans="1:15" ht="13.2" customHeight="1" x14ac:dyDescent="0.3">
      <c r="A59" s="311" t="s">
        <v>626</v>
      </c>
      <c r="B59" s="311"/>
      <c r="C59" s="311"/>
      <c r="D59" s="226"/>
      <c r="E59" s="226"/>
      <c r="F59" s="226"/>
      <c r="G59" s="226"/>
      <c r="H59" s="233">
        <f t="shared" si="16"/>
        <v>0</v>
      </c>
      <c r="I59" s="226"/>
      <c r="J59" s="226"/>
      <c r="K59" s="313" t="s">
        <v>627</v>
      </c>
      <c r="L59" s="313"/>
      <c r="M59" s="323"/>
      <c r="N59" s="324"/>
      <c r="O59" s="324"/>
    </row>
    <row r="60" spans="1:15" x14ac:dyDescent="0.3">
      <c r="A60" s="311" t="s">
        <v>439</v>
      </c>
      <c r="B60" s="311"/>
      <c r="C60" s="311"/>
      <c r="D60" s="226"/>
      <c r="E60" s="226"/>
      <c r="F60" s="226"/>
      <c r="G60" s="226"/>
      <c r="H60" s="233">
        <f t="shared" si="16"/>
        <v>0</v>
      </c>
      <c r="I60" s="226"/>
      <c r="J60" s="226"/>
      <c r="K60" s="313"/>
      <c r="L60" s="313"/>
      <c r="M60" s="323"/>
      <c r="N60" s="324"/>
      <c r="O60" s="324"/>
    </row>
    <row r="61" spans="1:15" x14ac:dyDescent="0.3">
      <c r="A61" s="311" t="s">
        <v>439</v>
      </c>
      <c r="B61" s="311"/>
      <c r="C61" s="311"/>
      <c r="D61" s="226"/>
      <c r="E61" s="226"/>
      <c r="F61" s="226"/>
      <c r="G61" s="226"/>
      <c r="H61" s="233">
        <f t="shared" si="16"/>
        <v>0</v>
      </c>
      <c r="I61" s="226"/>
      <c r="J61" s="226"/>
      <c r="K61" s="313"/>
      <c r="L61" s="313"/>
      <c r="M61" s="323"/>
      <c r="N61" s="324"/>
      <c r="O61" s="324"/>
    </row>
    <row r="62" spans="1:15" x14ac:dyDescent="0.3">
      <c r="A62" s="286"/>
      <c r="B62" s="286"/>
      <c r="C62" s="286"/>
      <c r="D62" s="229"/>
      <c r="E62" s="229"/>
      <c r="F62" s="229"/>
      <c r="G62" s="229"/>
      <c r="H62" s="229"/>
      <c r="I62" s="229"/>
      <c r="J62" s="229"/>
      <c r="M62" s="282"/>
      <c r="N62" s="282"/>
    </row>
    <row r="63" spans="1:15" ht="13.2" customHeight="1" x14ac:dyDescent="0.3">
      <c r="A63" s="288" t="s">
        <v>628</v>
      </c>
      <c r="B63" s="289"/>
      <c r="C63" s="289"/>
      <c r="D63" s="289"/>
      <c r="E63" s="289"/>
      <c r="F63" s="289"/>
      <c r="G63" s="289"/>
      <c r="H63" s="289"/>
      <c r="I63" s="289"/>
      <c r="J63" s="289"/>
      <c r="K63" s="289"/>
      <c r="L63" s="290"/>
      <c r="M63" s="323" t="s">
        <v>623</v>
      </c>
      <c r="N63" s="324"/>
      <c r="O63" s="324"/>
    </row>
    <row r="64" spans="1:15" ht="13.2" customHeight="1" x14ac:dyDescent="0.3">
      <c r="A64" s="287" t="s">
        <v>580</v>
      </c>
      <c r="B64" s="287"/>
      <c r="C64" s="287"/>
      <c r="D64" s="236" t="str">
        <f t="shared" ref="D64:L64" si="17">D52</f>
        <v>1Q2025</v>
      </c>
      <c r="E64" s="236" t="str">
        <f t="shared" si="17"/>
        <v>2Q2025</v>
      </c>
      <c r="F64" s="236" t="str">
        <f t="shared" si="17"/>
        <v>3Q2025</v>
      </c>
      <c r="G64" s="236" t="str">
        <f t="shared" si="17"/>
        <v>4Q2025</v>
      </c>
      <c r="H64" s="236">
        <v>2025</v>
      </c>
      <c r="I64" s="236">
        <f t="shared" si="17"/>
        <v>2026</v>
      </c>
      <c r="J64" s="236">
        <f t="shared" si="17"/>
        <v>2027</v>
      </c>
      <c r="K64" s="236">
        <f t="shared" si="17"/>
        <v>2028</v>
      </c>
      <c r="L64" s="236">
        <f t="shared" si="17"/>
        <v>2029</v>
      </c>
      <c r="M64" s="323"/>
      <c r="N64" s="324"/>
      <c r="O64" s="324"/>
    </row>
    <row r="65" spans="1:15" x14ac:dyDescent="0.3">
      <c r="A65" s="311" t="s">
        <v>629</v>
      </c>
      <c r="B65" s="311"/>
      <c r="C65" s="311"/>
      <c r="D65" s="226"/>
      <c r="E65" s="226"/>
      <c r="F65" s="226"/>
      <c r="G65" s="226"/>
      <c r="H65" s="233">
        <f t="shared" ref="H65:H67" si="18">SUM(D65:G65)</f>
        <v>0</v>
      </c>
      <c r="I65" s="226"/>
      <c r="J65" s="226"/>
      <c r="K65" s="226"/>
      <c r="L65" s="226"/>
      <c r="M65" s="323"/>
      <c r="N65" s="324"/>
      <c r="O65" s="324"/>
    </row>
    <row r="66" spans="1:15" x14ac:dyDescent="0.3">
      <c r="A66" s="312" t="s">
        <v>439</v>
      </c>
      <c r="B66" s="312"/>
      <c r="C66" s="312"/>
      <c r="D66" s="226"/>
      <c r="E66" s="226"/>
      <c r="F66" s="226"/>
      <c r="G66" s="226"/>
      <c r="H66" s="233">
        <f t="shared" si="18"/>
        <v>0</v>
      </c>
      <c r="I66" s="226"/>
      <c r="J66" s="226"/>
      <c r="K66" s="226"/>
      <c r="L66" s="226"/>
      <c r="M66" s="323"/>
      <c r="N66" s="324"/>
      <c r="O66" s="324"/>
    </row>
    <row r="67" spans="1:15" x14ac:dyDescent="0.3">
      <c r="A67" s="312" t="s">
        <v>439</v>
      </c>
      <c r="B67" s="312"/>
      <c r="C67" s="312"/>
      <c r="D67" s="226"/>
      <c r="E67" s="226"/>
      <c r="F67" s="226"/>
      <c r="G67" s="226"/>
      <c r="H67" s="233">
        <f t="shared" si="18"/>
        <v>0</v>
      </c>
      <c r="I67" s="226"/>
      <c r="J67" s="226"/>
      <c r="K67" s="226"/>
      <c r="L67" s="226"/>
      <c r="M67" s="323"/>
      <c r="N67" s="324"/>
      <c r="O67" s="324"/>
    </row>
    <row r="68" spans="1:15" x14ac:dyDescent="0.3">
      <c r="M68" s="282"/>
      <c r="N68" s="282"/>
    </row>
    <row r="69" spans="1:15" x14ac:dyDescent="0.3">
      <c r="A69" s="283" t="s">
        <v>630</v>
      </c>
      <c r="B69" s="284"/>
      <c r="C69" s="284"/>
      <c r="D69" s="284"/>
      <c r="E69" s="284"/>
      <c r="F69" s="284"/>
      <c r="G69" s="284"/>
      <c r="H69" s="284"/>
      <c r="I69" s="284"/>
      <c r="J69" s="284"/>
      <c r="K69" s="284"/>
      <c r="L69" s="285"/>
      <c r="M69" s="282"/>
      <c r="N69" s="282"/>
    </row>
    <row r="70" spans="1:15" ht="7.2" customHeight="1" x14ac:dyDescent="0.3">
      <c r="A70" s="195"/>
      <c r="B70" s="195"/>
      <c r="C70" s="195"/>
      <c r="D70" s="195"/>
      <c r="E70" s="195"/>
      <c r="F70" s="229"/>
      <c r="G70" s="229"/>
      <c r="H70" s="229"/>
      <c r="I70" s="229"/>
      <c r="J70" s="229"/>
      <c r="K70" s="229"/>
      <c r="L70" s="229"/>
      <c r="M70" s="282"/>
      <c r="N70" s="282"/>
    </row>
    <row r="71" spans="1:15" x14ac:dyDescent="0.3">
      <c r="A71" s="195"/>
      <c r="B71" s="195"/>
      <c r="C71" s="195"/>
      <c r="D71" s="195"/>
      <c r="F71" s="237" t="s">
        <v>631</v>
      </c>
      <c r="I71" s="229"/>
      <c r="J71" s="229"/>
      <c r="K71" s="306" t="s">
        <v>632</v>
      </c>
      <c r="L71" s="229"/>
      <c r="M71" s="224"/>
      <c r="N71" s="224"/>
    </row>
    <row r="72" spans="1:15" ht="13.2" customHeight="1" x14ac:dyDescent="0.3">
      <c r="A72" s="264" t="s">
        <v>633</v>
      </c>
      <c r="B72" s="314" t="s">
        <v>634</v>
      </c>
      <c r="C72" s="315"/>
      <c r="D72" s="315"/>
      <c r="E72" s="316"/>
      <c r="F72" s="317"/>
      <c r="I72" s="318" t="s">
        <v>666</v>
      </c>
      <c r="J72" s="318"/>
      <c r="K72" s="319"/>
      <c r="M72" s="230"/>
      <c r="N72" s="230"/>
    </row>
    <row r="73" spans="1:15" ht="13.2" customHeight="1" x14ac:dyDescent="0.3">
      <c r="A73" s="264"/>
      <c r="B73" s="314" t="s">
        <v>635</v>
      </c>
      <c r="C73" s="315"/>
      <c r="D73" s="315"/>
      <c r="E73" s="316"/>
      <c r="F73" s="317"/>
      <c r="G73" s="229"/>
      <c r="H73" s="229"/>
      <c r="I73" s="229"/>
      <c r="J73" s="229"/>
      <c r="K73" s="229"/>
      <c r="L73" s="230"/>
      <c r="M73" s="230"/>
      <c r="N73" s="230"/>
    </row>
    <row r="74" spans="1:15" ht="13.2" customHeight="1" x14ac:dyDescent="0.3">
      <c r="A74" s="264"/>
      <c r="B74" s="314" t="s">
        <v>636</v>
      </c>
      <c r="C74" s="315"/>
      <c r="D74" s="315"/>
      <c r="E74" s="316"/>
      <c r="F74" s="317"/>
      <c r="K74" s="229"/>
      <c r="L74" s="230"/>
      <c r="M74" s="230"/>
      <c r="N74" s="230"/>
    </row>
    <row r="75" spans="1:15" ht="13.2" customHeight="1" x14ac:dyDescent="0.3">
      <c r="A75" s="264"/>
      <c r="B75" s="314" t="s">
        <v>637</v>
      </c>
      <c r="C75" s="315"/>
      <c r="D75" s="315"/>
      <c r="E75" s="316"/>
      <c r="F75" s="317"/>
      <c r="K75" s="229"/>
      <c r="L75" s="230"/>
      <c r="M75" s="230"/>
      <c r="N75" s="230"/>
    </row>
    <row r="76" spans="1:15" x14ac:dyDescent="0.3">
      <c r="L76" s="222"/>
      <c r="M76" s="230"/>
      <c r="N76" s="230"/>
    </row>
    <row r="77" spans="1:15" x14ac:dyDescent="0.3">
      <c r="L77" s="222"/>
      <c r="M77" s="222"/>
      <c r="N77" s="222"/>
    </row>
    <row r="78" spans="1:15" x14ac:dyDescent="0.3">
      <c r="E78" s="217" t="s">
        <v>599</v>
      </c>
      <c r="I78" s="239" t="s">
        <v>600</v>
      </c>
      <c r="J78" s="239"/>
      <c r="K78" s="239"/>
    </row>
    <row r="79" spans="1:15" x14ac:dyDescent="0.3">
      <c r="K79" s="210"/>
    </row>
    <row r="80" spans="1:15" x14ac:dyDescent="0.3">
      <c r="I80" s="240" t="s">
        <v>601</v>
      </c>
      <c r="J80" s="240"/>
      <c r="K80" s="240"/>
    </row>
    <row r="81" spans="9:11" ht="30" customHeight="1" x14ac:dyDescent="0.3">
      <c r="I81" s="241"/>
      <c r="J81" s="241"/>
      <c r="K81" s="241"/>
    </row>
    <row r="82" spans="9:11" ht="30" customHeight="1" x14ac:dyDescent="0.3">
      <c r="I82" s="241"/>
      <c r="J82" s="241"/>
      <c r="K82" s="241"/>
    </row>
    <row r="83" spans="9:11" ht="30" customHeight="1" x14ac:dyDescent="0.3">
      <c r="I83" s="241"/>
      <c r="J83" s="241"/>
      <c r="K83" s="241"/>
    </row>
  </sheetData>
  <sheetProtection algorithmName="SHA-512" hashValue="cCuEzUeA3WdyYaxAVVnD7M4y2c5slIEXOCYAZNKCEbGNNyducOco338FuxX0xoOrsCIWoy+zOtnK5JXdRnRmxg==" saltValue="PBhHlBT0CFVsVUuxddHXmw==" spinCount="100000" sheet="1" objects="1" scenarios="1"/>
  <mergeCells count="133">
    <mergeCell ref="A31:C31"/>
    <mergeCell ref="A32:C32"/>
    <mergeCell ref="A33:C33"/>
    <mergeCell ref="A6:C6"/>
    <mergeCell ref="D6:E6"/>
    <mergeCell ref="M6:N6"/>
    <mergeCell ref="A7:C7"/>
    <mergeCell ref="M7:N7"/>
    <mergeCell ref="A8:C8"/>
    <mergeCell ref="M8:N8"/>
    <mergeCell ref="M13:N13"/>
    <mergeCell ref="M14:N14"/>
    <mergeCell ref="A13:C13"/>
    <mergeCell ref="A14:C14"/>
    <mergeCell ref="M18:N18"/>
    <mergeCell ref="M19:N19"/>
    <mergeCell ref="M20:N20"/>
    <mergeCell ref="A18:C18"/>
    <mergeCell ref="A19:C19"/>
    <mergeCell ref="A20:C20"/>
    <mergeCell ref="M15:N15"/>
    <mergeCell ref="M16:N16"/>
    <mergeCell ref="M17:N17"/>
    <mergeCell ref="A15:C15"/>
    <mergeCell ref="A1:L1"/>
    <mergeCell ref="A2:L2"/>
    <mergeCell ref="A4:J4"/>
    <mergeCell ref="K4:L4"/>
    <mergeCell ref="M4:N4"/>
    <mergeCell ref="A5:J5"/>
    <mergeCell ref="K5:L5"/>
    <mergeCell ref="M5:N5"/>
    <mergeCell ref="M12:N12"/>
    <mergeCell ref="A12:C12"/>
    <mergeCell ref="M9:N9"/>
    <mergeCell ref="M10:N10"/>
    <mergeCell ref="M11:N11"/>
    <mergeCell ref="A9:C9"/>
    <mergeCell ref="A10:C10"/>
    <mergeCell ref="A11:C11"/>
    <mergeCell ref="A16:C16"/>
    <mergeCell ref="A17:C17"/>
    <mergeCell ref="M28:N28"/>
    <mergeCell ref="M29:N29"/>
    <mergeCell ref="M30:N30"/>
    <mergeCell ref="A28:C28"/>
    <mergeCell ref="A29:C29"/>
    <mergeCell ref="A30:C30"/>
    <mergeCell ref="M21:N21"/>
    <mergeCell ref="M22:N22"/>
    <mergeCell ref="M23:N23"/>
    <mergeCell ref="A21:C21"/>
    <mergeCell ref="A22:C22"/>
    <mergeCell ref="A23:C23"/>
    <mergeCell ref="A24:C24"/>
    <mergeCell ref="A25:C25"/>
    <mergeCell ref="A26:C26"/>
    <mergeCell ref="A27:C27"/>
    <mergeCell ref="M37:N37"/>
    <mergeCell ref="M38:N38"/>
    <mergeCell ref="M40:N40"/>
    <mergeCell ref="A37:C37"/>
    <mergeCell ref="A38:C38"/>
    <mergeCell ref="A39:C39"/>
    <mergeCell ref="A40:C40"/>
    <mergeCell ref="M34:N34"/>
    <mergeCell ref="M35:N35"/>
    <mergeCell ref="M36:N36"/>
    <mergeCell ref="A34:C34"/>
    <mergeCell ref="A35:C35"/>
    <mergeCell ref="A36:C36"/>
    <mergeCell ref="M44:N44"/>
    <mergeCell ref="M45:N45"/>
    <mergeCell ref="M46:N46"/>
    <mergeCell ref="A44:C44"/>
    <mergeCell ref="A45:C45"/>
    <mergeCell ref="A46:C46"/>
    <mergeCell ref="A50:C50"/>
    <mergeCell ref="M41:N41"/>
    <mergeCell ref="M42:N42"/>
    <mergeCell ref="M43:N43"/>
    <mergeCell ref="A41:C41"/>
    <mergeCell ref="A42:C42"/>
    <mergeCell ref="A43:C43"/>
    <mergeCell ref="A53:C53"/>
    <mergeCell ref="M53:N53"/>
    <mergeCell ref="A54:C54"/>
    <mergeCell ref="M54:N54"/>
    <mergeCell ref="A55:C55"/>
    <mergeCell ref="M55:N55"/>
    <mergeCell ref="M47:N47"/>
    <mergeCell ref="M50:N50"/>
    <mergeCell ref="M51:N51"/>
    <mergeCell ref="A52:C52"/>
    <mergeCell ref="M52:N52"/>
    <mergeCell ref="A47:C47"/>
    <mergeCell ref="A48:C48"/>
    <mergeCell ref="A49:C49"/>
    <mergeCell ref="M56:N56"/>
    <mergeCell ref="A57:C57"/>
    <mergeCell ref="K57:L57"/>
    <mergeCell ref="M57:O61"/>
    <mergeCell ref="A58:C58"/>
    <mergeCell ref="K58:L58"/>
    <mergeCell ref="A59:C59"/>
    <mergeCell ref="K59:L59"/>
    <mergeCell ref="A60:C60"/>
    <mergeCell ref="K60:L60"/>
    <mergeCell ref="A61:C61"/>
    <mergeCell ref="K61:L61"/>
    <mergeCell ref="A62:C62"/>
    <mergeCell ref="M62:N62"/>
    <mergeCell ref="M63:O67"/>
    <mergeCell ref="A64:C64"/>
    <mergeCell ref="A65:C65"/>
    <mergeCell ref="A66:C66"/>
    <mergeCell ref="A67:C67"/>
    <mergeCell ref="I80:K80"/>
    <mergeCell ref="A63:L63"/>
    <mergeCell ref="A72:A75"/>
    <mergeCell ref="B72:E72"/>
    <mergeCell ref="B73:E73"/>
    <mergeCell ref="B74:E74"/>
    <mergeCell ref="B75:E75"/>
    <mergeCell ref="I81:K81"/>
    <mergeCell ref="I82:K82"/>
    <mergeCell ref="I83:K83"/>
    <mergeCell ref="M68:N68"/>
    <mergeCell ref="M69:N69"/>
    <mergeCell ref="M70:N70"/>
    <mergeCell ref="I72:J72"/>
    <mergeCell ref="I78:K78"/>
    <mergeCell ref="A69:L69"/>
  </mergeCells>
  <dataValidations count="1">
    <dataValidation type="list" allowBlank="1" showInputMessage="1" showErrorMessage="1" sqref="D6:E6" xr:uid="{93D1C009-8FD5-4DEC-8859-E6C3577C6735}">
      <formula1>$Q$8:$Q$11</formula1>
    </dataValidation>
  </dataValidations>
  <pageMargins left="0.31496062992125984" right="0.31496062992125984" top="0.35433070866141736" bottom="0.35433070866141736" header="0.31496062992125984" footer="0.11811023622047245"/>
  <pageSetup scale="80" orientation="landscape" r:id="rId1"/>
  <headerFooter>
    <oddFooter>Strona &amp;P z &amp;N</oddFooter>
  </headerFooter>
  <rowBreaks count="1" manualBreakCount="1">
    <brk id="47" max="10" man="1"/>
  </rowBreaks>
  <ignoredErrors>
    <ignoredError sqref="H47 H42 H12" formula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C25C3-209A-486E-8F3A-11DE0B3CF9FF}">
  <sheetPr>
    <tabColor theme="5" tint="0.79998168889431442"/>
  </sheetPr>
  <dimension ref="A1:L177"/>
  <sheetViews>
    <sheetView topLeftCell="A167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420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9.053947885800758</v>
      </c>
      <c r="B4" s="139">
        <f>MAX(F4:K4)</f>
        <v>78.72007710494367</v>
      </c>
      <c r="C4" s="155">
        <f>AVERAGE(F4:K4)</f>
        <v>43.382683400431567</v>
      </c>
      <c r="D4" s="156">
        <f>MEDIAN(F4:K4)</f>
        <v>37.518437728186889</v>
      </c>
      <c r="E4" s="47" t="s">
        <v>364</v>
      </c>
      <c r="F4" s="71">
        <f>SUM(F9:F12)/SUM(F13:F15)</f>
        <v>32.230758353138029</v>
      </c>
      <c r="G4" s="71">
        <f t="shared" ref="G4:K4" si="0">SUM(G9:G12)/SUM(G13:G15)</f>
        <v>76.170507679613195</v>
      </c>
      <c r="H4" s="71">
        <f t="shared" si="0"/>
        <v>78.72007710494367</v>
      </c>
      <c r="I4" s="71">
        <f t="shared" si="0"/>
        <v>21.314692275857986</v>
      </c>
      <c r="J4" s="71">
        <f t="shared" si="0"/>
        <v>42.806117103235749</v>
      </c>
      <c r="K4" s="71">
        <f t="shared" si="0"/>
        <v>9.053947885800758</v>
      </c>
    </row>
    <row r="5" spans="1:11" s="43" customFormat="1" ht="13.2" x14ac:dyDescent="0.25">
      <c r="A5" s="139">
        <f t="shared" ref="A5:A7" si="1">MIN(F5:K5)</f>
        <v>11.672864975089922</v>
      </c>
      <c r="B5" s="139">
        <f t="shared" ref="B5:B7" si="2">MAX(F5:K5)</f>
        <v>83.965615720523999</v>
      </c>
      <c r="C5" s="155">
        <f t="shared" ref="C5:C7" si="3">AVERAGEIF(F5:K5,"&gt;0")</f>
        <v>54.260990156090763</v>
      </c>
      <c r="D5" s="156">
        <f t="shared" ref="D5:D7" si="4">_xlfn.AGGREGATE(12,6,F5:K5)</f>
        <v>59.488312391424472</v>
      </c>
      <c r="E5" s="47" t="s">
        <v>363</v>
      </c>
      <c r="F5" s="71">
        <f t="shared" ref="F5:K5" si="5">SUM(F9:F12)/F14</f>
        <v>32.230758353138029</v>
      </c>
      <c r="G5" s="71">
        <f t="shared" si="5"/>
        <v>76.170507679613195</v>
      </c>
      <c r="H5" s="71">
        <f t="shared" si="5"/>
        <v>78.72007710494367</v>
      </c>
      <c r="I5" s="71">
        <f t="shared" si="5"/>
        <v>83.965615720523999</v>
      </c>
      <c r="J5" s="71">
        <f t="shared" si="5"/>
        <v>42.806117103235749</v>
      </c>
      <c r="K5" s="71">
        <f t="shared" si="5"/>
        <v>11.672864975089922</v>
      </c>
    </row>
    <row r="6" spans="1:11" s="43" customFormat="1" ht="13.2" x14ac:dyDescent="0.25">
      <c r="A6" s="139">
        <f t="shared" si="1"/>
        <v>10.450712036397789</v>
      </c>
      <c r="B6" s="139">
        <f t="shared" si="2"/>
        <v>77.585924308588048</v>
      </c>
      <c r="C6" s="155">
        <f t="shared" si="3"/>
        <v>49.867315724611991</v>
      </c>
      <c r="D6" s="156">
        <f t="shared" si="4"/>
        <v>53.676031990847243</v>
      </c>
      <c r="E6" s="47" t="s">
        <v>365</v>
      </c>
      <c r="F6" s="71">
        <f t="shared" ref="F6:K6" si="6">SUM(F10:F11)/F14</f>
        <v>30.125221923609413</v>
      </c>
      <c r="G6" s="71">
        <f t="shared" si="6"/>
        <v>69.923358280615901</v>
      </c>
      <c r="H6" s="71">
        <f t="shared" si="6"/>
        <v>73.689972097382267</v>
      </c>
      <c r="I6" s="71">
        <f t="shared" si="6"/>
        <v>77.585924308588048</v>
      </c>
      <c r="J6" s="71">
        <f t="shared" si="6"/>
        <v>37.428705701078584</v>
      </c>
      <c r="K6" s="71">
        <f t="shared" si="6"/>
        <v>10.450712036397789</v>
      </c>
    </row>
    <row r="7" spans="1:11" s="43" customFormat="1" ht="13.8" thickBot="1" x14ac:dyDescent="0.3">
      <c r="A7" s="139">
        <f t="shared" si="1"/>
        <v>7.8271019631571201</v>
      </c>
      <c r="B7" s="139">
        <f t="shared" si="2"/>
        <v>76.969266375545843</v>
      </c>
      <c r="C7" s="155">
        <f t="shared" si="3"/>
        <v>48.669485642106388</v>
      </c>
      <c r="D7" s="156">
        <f t="shared" si="4"/>
        <v>53.431320506427163</v>
      </c>
      <c r="E7" s="49" t="s">
        <v>366</v>
      </c>
      <c r="F7" s="73">
        <f t="shared" ref="F7:K7" si="7">F11/F14</f>
        <v>29.926146636163736</v>
      </c>
      <c r="G7" s="73">
        <f t="shared" si="7"/>
        <v>69.597439163855867</v>
      </c>
      <c r="H7" s="73">
        <f t="shared" si="7"/>
        <v>70.431757864917259</v>
      </c>
      <c r="I7" s="73">
        <f t="shared" si="7"/>
        <v>76.969266375545843</v>
      </c>
      <c r="J7" s="73">
        <f t="shared" si="7"/>
        <v>37.265201848998458</v>
      </c>
      <c r="K7" s="73">
        <f t="shared" si="7"/>
        <v>7.8271019631571201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10551</v>
      </c>
      <c r="G9" s="76">
        <f t="shared" ref="G9:K12" si="8">G115</f>
        <v>8150</v>
      </c>
      <c r="H9" s="76">
        <f t="shared" si="8"/>
        <v>6701</v>
      </c>
      <c r="I9" s="76">
        <f t="shared" si="8"/>
        <v>8289</v>
      </c>
      <c r="J9" s="76">
        <f t="shared" si="8"/>
        <v>6917</v>
      </c>
      <c r="K9" s="76">
        <f t="shared" si="8"/>
        <v>6093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2688.89</v>
      </c>
      <c r="G10" s="76">
        <f t="shared" si="8"/>
        <v>1350.85</v>
      </c>
      <c r="H10" s="76">
        <f t="shared" si="8"/>
        <v>15296.99</v>
      </c>
      <c r="I10" s="76">
        <f t="shared" si="8"/>
        <v>2118.2199999999998</v>
      </c>
      <c r="J10" s="76">
        <f t="shared" si="8"/>
        <v>530.57000000000005</v>
      </c>
      <c r="K10" s="76">
        <f t="shared" si="8"/>
        <v>36900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404209.47</v>
      </c>
      <c r="G11" s="76">
        <f t="shared" si="8"/>
        <v>288463.28999999998</v>
      </c>
      <c r="H11" s="76">
        <f t="shared" si="8"/>
        <v>330670.06</v>
      </c>
      <c r="I11" s="76">
        <f t="shared" si="8"/>
        <v>264389.43</v>
      </c>
      <c r="J11" s="76">
        <f t="shared" si="8"/>
        <v>120925.58</v>
      </c>
      <c r="K11" s="76">
        <f t="shared" si="8"/>
        <v>110084.98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17888.27</v>
      </c>
      <c r="G12" s="76">
        <f t="shared" si="8"/>
        <v>17742.810000000001</v>
      </c>
      <c r="H12" s="76">
        <f t="shared" si="8"/>
        <v>16914.84</v>
      </c>
      <c r="I12" s="76">
        <f t="shared" si="8"/>
        <v>13625.24</v>
      </c>
      <c r="J12" s="76">
        <f t="shared" si="8"/>
        <v>10532.7</v>
      </c>
      <c r="K12" s="76">
        <f t="shared" si="8"/>
        <v>11096.08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13506.9</v>
      </c>
      <c r="G14" s="76">
        <f t="shared" ref="G14:K15" si="10">G130</f>
        <v>4144.74</v>
      </c>
      <c r="H14" s="76">
        <f t="shared" si="10"/>
        <v>4694.8999999999996</v>
      </c>
      <c r="I14" s="76">
        <f t="shared" si="10"/>
        <v>3435</v>
      </c>
      <c r="J14" s="76">
        <f t="shared" si="10"/>
        <v>3245</v>
      </c>
      <c r="K14" s="76">
        <f t="shared" si="10"/>
        <v>14064.59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10096.6</v>
      </c>
      <c r="J15" s="76">
        <f t="shared" si="10"/>
        <v>0</v>
      </c>
      <c r="K15" s="76">
        <f t="shared" si="10"/>
        <v>4068.28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1.3452027403346356</v>
      </c>
      <c r="B19" s="152">
        <f t="shared" ref="B19:B25" si="12">MAX(F19:K19)</f>
        <v>106.92468845288784</v>
      </c>
      <c r="C19" s="156">
        <f>AVERAGE(F19:K19)</f>
        <v>28.129764028050534</v>
      </c>
      <c r="D19" s="156">
        <f>MEDIAN(F19:K19)</f>
        <v>5.1003930065707266</v>
      </c>
      <c r="E19" s="47" t="s">
        <v>293</v>
      </c>
      <c r="F19" s="71">
        <f>F28/(F27/365)</f>
        <v>4.4986078283841664</v>
      </c>
      <c r="G19" s="71">
        <f t="shared" ref="G19:K19" si="13">G28/(G27/365)</f>
        <v>3.0877397081709828</v>
      </c>
      <c r="H19" s="71">
        <f t="shared" si="13"/>
        <v>47.220167253768295</v>
      </c>
      <c r="I19" s="71">
        <f t="shared" si="13"/>
        <v>5.7021781847572868</v>
      </c>
      <c r="J19" s="71">
        <f t="shared" si="13"/>
        <v>1.3452027403346356</v>
      </c>
      <c r="K19" s="71">
        <f t="shared" si="13"/>
        <v>106.92468845288784</v>
      </c>
    </row>
    <row r="20" spans="1:11" s="43" customFormat="1" ht="13.2" x14ac:dyDescent="0.25">
      <c r="A20" s="152">
        <f t="shared" si="11"/>
        <v>17.53730394650032</v>
      </c>
      <c r="B20" s="152">
        <f t="shared" si="12"/>
        <v>22.313713860436192</v>
      </c>
      <c r="C20" s="156">
        <f t="shared" ref="C20:C25" si="14">AVERAGE(F20:K20)</f>
        <v>19.078860662898567</v>
      </c>
      <c r="D20" s="156">
        <f t="shared" ref="D20:D25" si="15">MEDIAN(F20:K20)</f>
        <v>18.14234137783351</v>
      </c>
      <c r="E20" s="121" t="s">
        <v>367</v>
      </c>
      <c r="F20" s="71">
        <f>F29/(F27/365)</f>
        <v>17.652195217090078</v>
      </c>
      <c r="G20" s="71">
        <f t="shared" ref="G20:K20" si="16">G29/(G27/365)</f>
        <v>18.629069564787734</v>
      </c>
      <c r="H20" s="71">
        <f t="shared" si="16"/>
        <v>20.685268197697805</v>
      </c>
      <c r="I20" s="71">
        <f t="shared" si="16"/>
        <v>22.313713860436192</v>
      </c>
      <c r="J20" s="71">
        <f t="shared" si="16"/>
        <v>17.53730394650032</v>
      </c>
      <c r="K20" s="71">
        <f t="shared" si="16"/>
        <v>17.655613190879283</v>
      </c>
    </row>
    <row r="21" spans="1:11" s="43" customFormat="1" ht="13.2" x14ac:dyDescent="0.25">
      <c r="A21" s="152">
        <f t="shared" si="11"/>
        <v>8.2273458589552604</v>
      </c>
      <c r="B21" s="152">
        <f t="shared" si="12"/>
        <v>40.754794145463457</v>
      </c>
      <c r="C21" s="156">
        <f t="shared" si="14"/>
        <v>17.465527340310146</v>
      </c>
      <c r="D21" s="156">
        <f t="shared" si="15"/>
        <v>11.983298723560953</v>
      </c>
      <c r="E21" s="47" t="s">
        <v>368</v>
      </c>
      <c r="F21" s="71">
        <f>F30/(F27/365)</f>
        <v>22.597520195025492</v>
      </c>
      <c r="G21" s="71">
        <f t="shared" ref="G21:K21" si="17">G30/(G27/365)</f>
        <v>9.4739447592586892</v>
      </c>
      <c r="H21" s="71">
        <f t="shared" si="17"/>
        <v>14.492652687863217</v>
      </c>
      <c r="I21" s="71">
        <f t="shared" si="17"/>
        <v>9.2469063952947668</v>
      </c>
      <c r="J21" s="71">
        <f t="shared" si="17"/>
        <v>8.2273458589552604</v>
      </c>
      <c r="K21" s="71">
        <f t="shared" si="17"/>
        <v>40.754794145463457</v>
      </c>
    </row>
    <row r="22" spans="1:11" s="43" customFormat="1" ht="13.2" x14ac:dyDescent="0.25">
      <c r="A22" s="152">
        <f t="shared" si="11"/>
        <v>-0.44671714955124742</v>
      </c>
      <c r="B22" s="152">
        <f t="shared" si="12"/>
        <v>83.825507498303665</v>
      </c>
      <c r="C22" s="156">
        <f t="shared" si="14"/>
        <v>29.743097350638958</v>
      </c>
      <c r="D22" s="156">
        <f t="shared" si="15"/>
        <v>15.505925081799369</v>
      </c>
      <c r="E22" s="47" t="s">
        <v>294</v>
      </c>
      <c r="F22" s="71">
        <f>F19+F20-F21</f>
        <v>-0.44671714955124742</v>
      </c>
      <c r="G22" s="71">
        <f t="shared" ref="G22:K22" si="18">G19+G20-G21</f>
        <v>12.242864513700027</v>
      </c>
      <c r="H22" s="71">
        <f t="shared" si="18"/>
        <v>53.412782763602891</v>
      </c>
      <c r="I22" s="71">
        <f t="shared" si="18"/>
        <v>18.76898564989871</v>
      </c>
      <c r="J22" s="71">
        <f t="shared" si="18"/>
        <v>10.655160827879694</v>
      </c>
      <c r="K22" s="71">
        <f t="shared" si="18"/>
        <v>83.825507498303665</v>
      </c>
    </row>
    <row r="23" spans="1:11" s="43" customFormat="1" ht="13.2" x14ac:dyDescent="0.25">
      <c r="A23" s="152">
        <f t="shared" si="11"/>
        <v>5.1931936584383671E-2</v>
      </c>
      <c r="B23" s="152">
        <f t="shared" si="12"/>
        <v>8.9311285075555399E-2</v>
      </c>
      <c r="C23" s="156">
        <f t="shared" si="14"/>
        <v>6.9983015652682182E-2</v>
      </c>
      <c r="D23" s="156">
        <f t="shared" si="15"/>
        <v>6.967338669788542E-2</v>
      </c>
      <c r="E23" s="47" t="s">
        <v>295</v>
      </c>
      <c r="F23" s="71">
        <f>F27/F31</f>
        <v>8.9311285075555399E-2</v>
      </c>
      <c r="G23" s="71">
        <f t="shared" ref="G23:K23" si="19">G27/G31</f>
        <v>6.9337577950873905E-2</v>
      </c>
      <c r="H23" s="71">
        <f t="shared" si="19"/>
        <v>5.1931936584383671E-2</v>
      </c>
      <c r="I23" s="71">
        <f t="shared" si="19"/>
        <v>6.2829510533283048E-2</v>
      </c>
      <c r="J23" s="71">
        <f t="shared" si="19"/>
        <v>7.6478588327100167E-2</v>
      </c>
      <c r="K23" s="71">
        <f t="shared" si="19"/>
        <v>7.0009195444896949E-2</v>
      </c>
    </row>
    <row r="24" spans="1:11" s="43" customFormat="1" ht="13.2" x14ac:dyDescent="0.25">
      <c r="A24" s="152">
        <f t="shared" si="11"/>
        <v>6.1995041597544882E-2</v>
      </c>
      <c r="B24" s="152">
        <f t="shared" si="12"/>
        <v>0.10867965288282871</v>
      </c>
      <c r="C24" s="156">
        <f t="shared" si="14"/>
        <v>8.0526688500575275E-2</v>
      </c>
      <c r="D24" s="156">
        <f t="shared" si="15"/>
        <v>7.869579181774955E-2</v>
      </c>
      <c r="E24" s="121" t="s">
        <v>369</v>
      </c>
      <c r="F24" s="71">
        <f>F27/F32</f>
        <v>0.10867965288282871</v>
      </c>
      <c r="G24" s="71">
        <f t="shared" ref="G24:K24" si="20">G27/G32</f>
        <v>8.0352837025013099E-2</v>
      </c>
      <c r="H24" s="71">
        <f t="shared" si="20"/>
        <v>6.1995041597544882E-2</v>
      </c>
      <c r="I24" s="71">
        <f t="shared" si="20"/>
        <v>7.2522082050985814E-2</v>
      </c>
      <c r="J24" s="71">
        <f t="shared" si="20"/>
        <v>8.2571770836593117E-2</v>
      </c>
      <c r="K24" s="71">
        <f t="shared" si="20"/>
        <v>7.7038746610486014E-2</v>
      </c>
    </row>
    <row r="25" spans="1:11" s="43" customFormat="1" ht="13.8" thickBot="1" x14ac:dyDescent="0.3">
      <c r="A25" s="152">
        <f t="shared" si="11"/>
        <v>0.31993331725935692</v>
      </c>
      <c r="B25" s="152">
        <f t="shared" si="12"/>
        <v>1.036399690869751</v>
      </c>
      <c r="C25" s="156">
        <f t="shared" si="14"/>
        <v>0.60010438805301447</v>
      </c>
      <c r="D25" s="156">
        <f t="shared" si="15"/>
        <v>0.50346930515326727</v>
      </c>
      <c r="E25" s="49" t="s">
        <v>296</v>
      </c>
      <c r="F25" s="73">
        <f>F27/F33</f>
        <v>0.50114287156844217</v>
      </c>
      <c r="G25" s="73">
        <f t="shared" ref="G25:K25" si="21">G27/G33</f>
        <v>0.50579573873809236</v>
      </c>
      <c r="H25" s="73">
        <f t="shared" si="21"/>
        <v>0.31993331725935692</v>
      </c>
      <c r="I25" s="73">
        <f t="shared" si="21"/>
        <v>0.47010506033366606</v>
      </c>
      <c r="J25" s="73">
        <f t="shared" si="21"/>
        <v>1.036399690869751</v>
      </c>
      <c r="K25" s="73">
        <f t="shared" si="21"/>
        <v>0.76724964954877772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218166.35</v>
      </c>
      <c r="G27" s="76">
        <f t="shared" ref="G27:K27" si="22">G93+G86</f>
        <v>159683.23000000001</v>
      </c>
      <c r="H27" s="76">
        <f t="shared" si="22"/>
        <v>118241.88</v>
      </c>
      <c r="I27" s="76">
        <f t="shared" si="22"/>
        <v>135588.59</v>
      </c>
      <c r="J27" s="76">
        <f t="shared" si="22"/>
        <v>143961.98000000001</v>
      </c>
      <c r="K27" s="76">
        <f t="shared" si="22"/>
        <v>125962.49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2688.89</v>
      </c>
      <c r="G28" s="76">
        <f t="shared" ref="G28:K28" si="23">G116</f>
        <v>1350.85</v>
      </c>
      <c r="H28" s="76">
        <f t="shared" si="23"/>
        <v>15296.99</v>
      </c>
      <c r="I28" s="76">
        <f t="shared" si="23"/>
        <v>2118.2199999999998</v>
      </c>
      <c r="J28" s="76">
        <f t="shared" si="23"/>
        <v>530.57000000000005</v>
      </c>
      <c r="K28" s="76">
        <f t="shared" si="23"/>
        <v>36900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10551</v>
      </c>
      <c r="G29" s="76">
        <f t="shared" ref="G29:K29" si="24">G115</f>
        <v>8150</v>
      </c>
      <c r="H29" s="76">
        <f t="shared" si="24"/>
        <v>6701</v>
      </c>
      <c r="I29" s="76">
        <f t="shared" si="24"/>
        <v>8289</v>
      </c>
      <c r="J29" s="76">
        <f t="shared" si="24"/>
        <v>6917</v>
      </c>
      <c r="K29" s="76">
        <f t="shared" si="24"/>
        <v>6093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13506.9</v>
      </c>
      <c r="G30" s="76">
        <f t="shared" ref="G30:K30" si="25">G130</f>
        <v>4144.74</v>
      </c>
      <c r="H30" s="76">
        <f t="shared" si="25"/>
        <v>4694.8999999999996</v>
      </c>
      <c r="I30" s="76">
        <f t="shared" si="25"/>
        <v>3435</v>
      </c>
      <c r="J30" s="76">
        <f t="shared" si="25"/>
        <v>3245</v>
      </c>
      <c r="K30" s="76">
        <f t="shared" si="25"/>
        <v>14064.59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2442763.5299999998</v>
      </c>
      <c r="G31" s="76">
        <f t="shared" ref="G31:K31" si="26">G120</f>
        <v>2302982.52</v>
      </c>
      <c r="H31" s="76">
        <f t="shared" si="26"/>
        <v>2276862.52</v>
      </c>
      <c r="I31" s="76">
        <f t="shared" si="26"/>
        <v>2158039.89</v>
      </c>
      <c r="J31" s="76">
        <f t="shared" si="26"/>
        <v>1882382.81</v>
      </c>
      <c r="K31" s="76">
        <f t="shared" si="26"/>
        <v>1799227.79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2007425.9</v>
      </c>
      <c r="G32" s="76">
        <f t="shared" ref="G32:K32" si="27">G108</f>
        <v>1987275.57</v>
      </c>
      <c r="H32" s="76">
        <f t="shared" si="27"/>
        <v>1907279.63</v>
      </c>
      <c r="I32" s="76">
        <f t="shared" si="27"/>
        <v>1869618</v>
      </c>
      <c r="J32" s="76">
        <f t="shared" si="27"/>
        <v>1743476.96</v>
      </c>
      <c r="K32" s="76">
        <f t="shared" si="27"/>
        <v>1635053.73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435337.63</v>
      </c>
      <c r="G33" s="76">
        <f t="shared" ref="G33:K33" si="28">G114</f>
        <v>315706.95</v>
      </c>
      <c r="H33" s="76">
        <f t="shared" si="28"/>
        <v>369582.89</v>
      </c>
      <c r="I33" s="76">
        <f t="shared" si="28"/>
        <v>288421.89</v>
      </c>
      <c r="J33" s="76">
        <f t="shared" si="28"/>
        <v>138905.85</v>
      </c>
      <c r="K33" s="76">
        <f t="shared" si="28"/>
        <v>164174.06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1.5917221993519313E-3</v>
      </c>
      <c r="B37" s="139">
        <f t="shared" ref="B37:B41" si="30">MAX(F37:K37)</f>
        <v>7.8170146538254614E-3</v>
      </c>
      <c r="C37" s="160">
        <f t="shared" ref="C37:C41" si="31">AVERAGE(F37:K37)</f>
        <v>3.4206165388552443E-3</v>
      </c>
      <c r="D37" s="160">
        <f t="shared" ref="D37:D41" si="32">MEDIAN(F37:K37)</f>
        <v>1.9308656213328529E-3</v>
      </c>
      <c r="E37" s="47" t="s">
        <v>370</v>
      </c>
      <c r="F37" s="119">
        <f>F43/F44*100%</f>
        <v>5.5293522414754572E-3</v>
      </c>
      <c r="G37" s="119">
        <f t="shared" ref="G37:K37" si="33">G43/G44*100%</f>
        <v>1.7997270773900619E-3</v>
      </c>
      <c r="H37" s="119">
        <f t="shared" si="33"/>
        <v>2.062004165275644E-3</v>
      </c>
      <c r="I37" s="119">
        <f t="shared" si="33"/>
        <v>1.5917221993519313E-3</v>
      </c>
      <c r="J37" s="119">
        <f t="shared" si="33"/>
        <v>1.7238788958129085E-3</v>
      </c>
      <c r="K37" s="119">
        <f t="shared" si="33"/>
        <v>7.8170146538254614E-3</v>
      </c>
    </row>
    <row r="38" spans="1:11" s="43" customFormat="1" ht="13.2" x14ac:dyDescent="0.25">
      <c r="A38" s="139">
        <f t="shared" si="29"/>
        <v>1.6017657828685753E-3</v>
      </c>
      <c r="B38" s="139">
        <f t="shared" si="30"/>
        <v>7.8965976726271276E-3</v>
      </c>
      <c r="C38" s="155">
        <f t="shared" si="31"/>
        <v>3.442425326478813E-3</v>
      </c>
      <c r="D38" s="156">
        <f t="shared" si="32"/>
        <v>1.9346183733626463E-3</v>
      </c>
      <c r="E38" s="50" t="s">
        <v>298</v>
      </c>
      <c r="F38" s="122">
        <f>F43/F45</f>
        <v>5.560095970593276E-3</v>
      </c>
      <c r="G38" s="122">
        <f t="shared" ref="G38:K38" si="34">G43/G45</f>
        <v>1.8029719348008975E-3</v>
      </c>
      <c r="H38" s="122">
        <f t="shared" si="34"/>
        <v>2.0662648119243949E-3</v>
      </c>
      <c r="I38" s="122">
        <f t="shared" si="34"/>
        <v>1.6017657828685753E-3</v>
      </c>
      <c r="J38" s="122">
        <f t="shared" si="34"/>
        <v>1.7268557860586073E-3</v>
      </c>
      <c r="K38" s="122">
        <f t="shared" si="34"/>
        <v>7.8965976726271276E-3</v>
      </c>
    </row>
    <row r="39" spans="1:11" s="43" customFormat="1" ht="13.2" x14ac:dyDescent="0.25">
      <c r="A39" s="139">
        <f t="shared" si="29"/>
        <v>1.0017268557860586</v>
      </c>
      <c r="B39" s="139">
        <f t="shared" si="30"/>
        <v>1.010180743202614</v>
      </c>
      <c r="C39" s="155">
        <f t="shared" si="31"/>
        <v>1.004607802730594</v>
      </c>
      <c r="D39" s="156">
        <f t="shared" si="32"/>
        <v>1.0038131803912589</v>
      </c>
      <c r="E39" s="50" t="s">
        <v>299</v>
      </c>
      <c r="F39" s="122">
        <f>F44/F45</f>
        <v>1.0055600959705933</v>
      </c>
      <c r="G39" s="122">
        <f t="shared" ref="G39:K39" si="35">G44/G45</f>
        <v>1.0018029719348009</v>
      </c>
      <c r="H39" s="122">
        <f t="shared" si="35"/>
        <v>1.0020662648119243</v>
      </c>
      <c r="I39" s="122">
        <f t="shared" si="35"/>
        <v>1.0063098846775733</v>
      </c>
      <c r="J39" s="122">
        <f t="shared" si="35"/>
        <v>1.0017268557860586</v>
      </c>
      <c r="K39" s="122">
        <f t="shared" si="35"/>
        <v>1.010180743202614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13.219444698982864</v>
      </c>
      <c r="B41" s="139">
        <f t="shared" si="30"/>
        <v>2071.1623733108108</v>
      </c>
      <c r="C41" s="155">
        <f t="shared" si="31"/>
        <v>578.80586090181419</v>
      </c>
      <c r="D41" s="156">
        <f t="shared" si="32"/>
        <v>97.791539983774484</v>
      </c>
      <c r="E41" s="51" t="s">
        <v>300</v>
      </c>
      <c r="F41" s="123">
        <f>(F47+F48)/F48</f>
        <v>33.976772940703491</v>
      </c>
      <c r="G41" s="123">
        <f t="shared" ref="G41:J41" si="37">(G47+G48)/G48</f>
        <v>13.219444698982864</v>
      </c>
      <c r="H41" s="123">
        <f t="shared" si="37"/>
        <v>97.791539983774484</v>
      </c>
      <c r="I41" s="123">
        <f t="shared" si="37"/>
        <v>677.87917357479898</v>
      </c>
      <c r="J41" s="123">
        <f t="shared" si="37"/>
        <v>2071.1623733108108</v>
      </c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13506.9</v>
      </c>
      <c r="G43" s="76">
        <f t="shared" ref="G43:K43" si="38">G129+G130</f>
        <v>4144.74</v>
      </c>
      <c r="H43" s="76">
        <f t="shared" si="38"/>
        <v>4694.8999999999996</v>
      </c>
      <c r="I43" s="76">
        <f t="shared" si="38"/>
        <v>3435</v>
      </c>
      <c r="J43" s="76">
        <f t="shared" si="38"/>
        <v>3245</v>
      </c>
      <c r="K43" s="76">
        <f t="shared" si="38"/>
        <v>14064.59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2442763.5299999998</v>
      </c>
      <c r="G44" s="76">
        <f t="shared" ref="G44:K44" si="39">G120</f>
        <v>2302982.52</v>
      </c>
      <c r="H44" s="76">
        <f t="shared" si="39"/>
        <v>2276862.52</v>
      </c>
      <c r="I44" s="76">
        <f t="shared" si="39"/>
        <v>2158039.89</v>
      </c>
      <c r="J44" s="76">
        <f t="shared" si="39"/>
        <v>1882382.81</v>
      </c>
      <c r="K44" s="76">
        <f t="shared" si="39"/>
        <v>1799227.79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2429256.63</v>
      </c>
      <c r="G45" s="76">
        <f t="shared" ref="G45:K45" si="40">G122</f>
        <v>2298837.7799999998</v>
      </c>
      <c r="H45" s="76">
        <f t="shared" si="40"/>
        <v>2272167.62</v>
      </c>
      <c r="I45" s="76">
        <f t="shared" si="40"/>
        <v>2144508.29</v>
      </c>
      <c r="J45" s="76">
        <f t="shared" si="40"/>
        <v>1879137.81</v>
      </c>
      <c r="K45" s="76">
        <f t="shared" si="40"/>
        <v>1781094.92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130418.85</v>
      </c>
      <c r="G47" s="76">
        <f t="shared" ref="G47:K47" si="42">G102</f>
        <v>26670.16</v>
      </c>
      <c r="H47" s="76">
        <f t="shared" si="42"/>
        <v>127659.33</v>
      </c>
      <c r="I47" s="76">
        <f t="shared" si="42"/>
        <v>265370.48</v>
      </c>
      <c r="J47" s="76">
        <f t="shared" si="42"/>
        <v>98042.89</v>
      </c>
      <c r="K47" s="76">
        <f t="shared" si="42"/>
        <v>123736.73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3954.87</v>
      </c>
      <c r="G48" s="76">
        <f t="shared" ref="G48:K48" si="43">G101</f>
        <v>2182.6</v>
      </c>
      <c r="H48" s="76">
        <f t="shared" si="43"/>
        <v>1318.91</v>
      </c>
      <c r="I48" s="76">
        <f t="shared" si="43"/>
        <v>392.05</v>
      </c>
      <c r="J48" s="76">
        <f t="shared" si="43"/>
        <v>47.36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0.14757887621508908</v>
      </c>
      <c r="B52" s="139">
        <f t="shared" ref="B52:B63" si="45">MAX(F52:K52)</f>
        <v>1.4387754237052097</v>
      </c>
      <c r="C52" s="160">
        <f t="shared" ref="C52:C63" si="46">AVERAGE(F52:K52)</f>
        <v>0.78266932655750454</v>
      </c>
      <c r="D52" s="160">
        <f t="shared" ref="D52:D63" si="47">MEDIAN(F52:K52)</f>
        <v>0.77817374810675921</v>
      </c>
      <c r="E52" s="50" t="s">
        <v>350</v>
      </c>
      <c r="F52" s="119">
        <f t="shared" ref="F52:K52" si="48">(F65/(F70+F71))*100%</f>
        <v>0.54500200391730069</v>
      </c>
      <c r="G52" s="119">
        <f t="shared" si="48"/>
        <v>0.14757887621508908</v>
      </c>
      <c r="H52" s="119">
        <f t="shared" si="48"/>
        <v>0.8649130955128248</v>
      </c>
      <c r="I52" s="119">
        <f t="shared" si="48"/>
        <v>1.4387754237052097</v>
      </c>
      <c r="J52" s="119">
        <f t="shared" si="48"/>
        <v>0.69143440070069351</v>
      </c>
      <c r="K52" s="120">
        <f t="shared" si="48"/>
        <v>1.0083121592939093</v>
      </c>
    </row>
    <row r="53" spans="1:11" s="43" customFormat="1" ht="13.2" x14ac:dyDescent="0.25">
      <c r="A53" s="139">
        <f t="shared" si="44"/>
        <v>0.20450706636261196</v>
      </c>
      <c r="B53" s="139">
        <f t="shared" si="45"/>
        <v>0.67736323726214043</v>
      </c>
      <c r="C53" s="160">
        <f t="shared" si="46"/>
        <v>0.47074286879997879</v>
      </c>
      <c r="D53" s="160">
        <f t="shared" si="47"/>
        <v>0.49593290173804672</v>
      </c>
      <c r="E53" s="50" t="s">
        <v>351</v>
      </c>
      <c r="F53" s="119">
        <f>(F66/F70)*100%</f>
        <v>0.45124575811072604</v>
      </c>
      <c r="G53" s="119">
        <f t="shared" ref="G53:K53" si="49">(G66/G70)*100%</f>
        <v>0.49914521393386135</v>
      </c>
      <c r="H53" s="119">
        <f t="shared" si="49"/>
        <v>0.20450706636261196</v>
      </c>
      <c r="I53" s="119">
        <f t="shared" si="49"/>
        <v>0.49272058954223208</v>
      </c>
      <c r="J53" s="119">
        <f t="shared" si="49"/>
        <v>0.49947534758830076</v>
      </c>
      <c r="K53" s="120">
        <f t="shared" si="49"/>
        <v>0.67736323726214043</v>
      </c>
    </row>
    <row r="54" spans="1:11" s="43" customFormat="1" ht="13.2" x14ac:dyDescent="0.25">
      <c r="A54" s="139">
        <f t="shared" si="44"/>
        <v>0.636481802238409</v>
      </c>
      <c r="B54" s="139">
        <f t="shared" si="45"/>
        <v>0.79622663851274778</v>
      </c>
      <c r="C54" s="160">
        <f t="shared" si="46"/>
        <v>0.72779520631858718</v>
      </c>
      <c r="D54" s="160">
        <f t="shared" si="47"/>
        <v>0.74886758959584387</v>
      </c>
      <c r="E54" s="50" t="s">
        <v>342</v>
      </c>
      <c r="F54" s="119">
        <f>(F67/SUM(F72:F74))*100%</f>
        <v>0.79622663851274778</v>
      </c>
      <c r="G54" s="119">
        <f t="shared" ref="G54:K54" si="50">(G67/SUM(G72:G74))*100%</f>
        <v>0.78249432886542147</v>
      </c>
      <c r="H54" s="119">
        <f t="shared" si="50"/>
        <v>0.75485996192549021</v>
      </c>
      <c r="I54" s="119">
        <f t="shared" si="50"/>
        <v>0.74287521726619765</v>
      </c>
      <c r="J54" s="119">
        <f t="shared" si="50"/>
        <v>0.65383328910325766</v>
      </c>
      <c r="K54" s="120">
        <f t="shared" si="50"/>
        <v>0.636481802238409</v>
      </c>
    </row>
    <row r="55" spans="1:11" s="43" customFormat="1" ht="13.2" x14ac:dyDescent="0.25">
      <c r="A55" s="139">
        <f t="shared" si="44"/>
        <v>1.7508939199127462</v>
      </c>
      <c r="B55" s="139">
        <f t="shared" si="45"/>
        <v>3.9074127879200677</v>
      </c>
      <c r="C55" s="160">
        <f t="shared" si="46"/>
        <v>2.8521887920958604</v>
      </c>
      <c r="D55" s="160">
        <f t="shared" si="47"/>
        <v>2.9842316228117984</v>
      </c>
      <c r="E55" s="50" t="s">
        <v>343</v>
      </c>
      <c r="F55" s="119">
        <f>((F72-F76)/F76)*100%</f>
        <v>3.9074127879200677</v>
      </c>
      <c r="G55" s="119">
        <f t="shared" ref="G55:K55" si="51">((G72-G76)/G76)*100%</f>
        <v>3.5975812712545987</v>
      </c>
      <c r="H55" s="119">
        <f t="shared" si="51"/>
        <v>3.0793009899755841</v>
      </c>
      <c r="I55" s="119">
        <f t="shared" si="51"/>
        <v>2.8891622556480128</v>
      </c>
      <c r="J55" s="119">
        <f t="shared" si="51"/>
        <v>1.8887815278641538</v>
      </c>
      <c r="K55" s="120">
        <f t="shared" si="51"/>
        <v>1.7508939199127462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1.9833925669065059E-2</v>
      </c>
      <c r="B58" s="139">
        <f t="shared" si="45"/>
        <v>0.22489487050364571</v>
      </c>
      <c r="C58" s="155">
        <f t="shared" si="46"/>
        <v>0.11293082394304672</v>
      </c>
      <c r="D58" s="156">
        <f t="shared" si="47"/>
        <v>0.10422446112190967</v>
      </c>
      <c r="E58" s="50" t="s">
        <v>356</v>
      </c>
      <c r="F58" s="71">
        <f>F68/(F70+F71+F72+F73+F74+F75)</f>
        <v>7.3507373598005118E-2</v>
      </c>
      <c r="G58" s="71">
        <f t="shared" ref="G58:K58" si="52">G68/(G70+G71+G72+G73+G74)</f>
        <v>1.9833925669065059E-2</v>
      </c>
      <c r="H58" s="71">
        <f t="shared" si="52"/>
        <v>0.11128907052773945</v>
      </c>
      <c r="I58" s="71">
        <f t="shared" si="52"/>
        <v>0.22489487050364571</v>
      </c>
      <c r="J58" s="71">
        <f t="shared" si="52"/>
        <v>9.7159851716079895E-2</v>
      </c>
      <c r="K58" s="72">
        <f t="shared" si="52"/>
        <v>0.15089985164374511</v>
      </c>
    </row>
    <row r="59" spans="1:11" s="43" customFormat="1" ht="13.2" x14ac:dyDescent="0.25">
      <c r="A59" s="139">
        <f t="shared" si="44"/>
        <v>1.9793648261573711E-2</v>
      </c>
      <c r="B59" s="139">
        <f t="shared" si="45"/>
        <v>0.22467983604607686</v>
      </c>
      <c r="C59" s="155">
        <f t="shared" si="46"/>
        <v>0.11285486261561657</v>
      </c>
      <c r="D59" s="156">
        <f t="shared" si="47"/>
        <v>0.10420498729327696</v>
      </c>
      <c r="E59" s="50" t="s">
        <v>361</v>
      </c>
      <c r="F59" s="71">
        <f>F69/(F70+F71+F72+F73+F74+F75)</f>
        <v>7.3507373598005118E-2</v>
      </c>
      <c r="G59" s="71">
        <f t="shared" ref="G59:K59" si="53">G69/(G70+G71+G72+G73+G74+G75)</f>
        <v>1.9793648261573711E-2</v>
      </c>
      <c r="H59" s="71">
        <f t="shared" si="53"/>
        <v>0.11125014886735407</v>
      </c>
      <c r="I59" s="71">
        <f t="shared" si="53"/>
        <v>0.22467983604607686</v>
      </c>
      <c r="J59" s="71">
        <f t="shared" si="53"/>
        <v>9.7159825719199844E-2</v>
      </c>
      <c r="K59" s="72">
        <f t="shared" si="53"/>
        <v>0.15073834320148999</v>
      </c>
    </row>
    <row r="60" spans="1:11" s="43" customFormat="1" ht="26.4" x14ac:dyDescent="0.25">
      <c r="A60" s="139">
        <f t="shared" si="44"/>
        <v>1.056656304972736E-2</v>
      </c>
      <c r="B60" s="139">
        <f t="shared" si="45"/>
        <v>0.1101095679932033</v>
      </c>
      <c r="C60" s="160">
        <f t="shared" si="46"/>
        <v>5.8219133675198015E-2</v>
      </c>
      <c r="D60" s="160">
        <f t="shared" si="47"/>
        <v>5.278209598120244E-2</v>
      </c>
      <c r="E60" s="50" t="s">
        <v>372</v>
      </c>
      <c r="F60" s="119">
        <f>F65/F79*100%</f>
        <v>5.2244569903170293E-2</v>
      </c>
      <c r="G60" s="119">
        <f t="shared" ref="G60:K60" si="54">G65/G79*100%</f>
        <v>1.056656304972736E-2</v>
      </c>
      <c r="H60" s="119">
        <f t="shared" si="54"/>
        <v>5.1143720350757059E-2</v>
      </c>
      <c r="I60" s="119">
        <f t="shared" si="54"/>
        <v>0.1101095679932033</v>
      </c>
      <c r="J60" s="119">
        <f t="shared" si="54"/>
        <v>5.3319622059234593E-2</v>
      </c>
      <c r="K60" s="120">
        <f t="shared" si="54"/>
        <v>7.193075869509552E-2</v>
      </c>
    </row>
    <row r="61" spans="1:11" s="43" customFormat="1" ht="13.2" x14ac:dyDescent="0.25">
      <c r="A61" s="139">
        <f t="shared" si="44"/>
        <v>1.1580704485763964E-2</v>
      </c>
      <c r="B61" s="139">
        <f t="shared" si="45"/>
        <v>0.1229682923052919</v>
      </c>
      <c r="C61" s="155">
        <f t="shared" si="46"/>
        <v>6.0810592525008089E-2</v>
      </c>
      <c r="D61" s="156">
        <f t="shared" si="47"/>
        <v>5.4728984054351129E-2</v>
      </c>
      <c r="E61" s="50" t="s">
        <v>373</v>
      </c>
      <c r="F61" s="71">
        <f>F69/F79</f>
        <v>5.3389879289707592E-2</v>
      </c>
      <c r="G61" s="71">
        <f t="shared" ref="G61:K61" si="55">G69/G79</f>
        <v>1.1580704485763964E-2</v>
      </c>
      <c r="H61" s="71">
        <f t="shared" si="55"/>
        <v>5.6068088818994659E-2</v>
      </c>
      <c r="I61" s="71">
        <f t="shared" si="55"/>
        <v>0.1229682923052919</v>
      </c>
      <c r="J61" s="71">
        <f t="shared" si="55"/>
        <v>5.2084458846072865E-2</v>
      </c>
      <c r="K61" s="72">
        <f t="shared" si="55"/>
        <v>6.8772131404217576E-2</v>
      </c>
    </row>
    <row r="62" spans="1:11" s="43" customFormat="1" ht="13.2" x14ac:dyDescent="0.25">
      <c r="A62" s="139">
        <f t="shared" si="44"/>
        <v>1.0642392659393676E-2</v>
      </c>
      <c r="B62" s="139">
        <f t="shared" si="45"/>
        <v>5.368673214241676E-2</v>
      </c>
      <c r="C62" s="155">
        <f t="shared" si="46"/>
        <v>3.605389215540046E-2</v>
      </c>
      <c r="D62" s="156">
        <f t="shared" si="47"/>
        <v>3.646852705904978E-2</v>
      </c>
      <c r="E62" s="50" t="s">
        <v>374</v>
      </c>
      <c r="F62" s="71">
        <f>F69/F80</f>
        <v>5.368673214241676E-2</v>
      </c>
      <c r="G62" s="71">
        <f>G66/G80</f>
        <v>3.4671920173506114E-2</v>
      </c>
      <c r="H62" s="71">
        <f>H66/H80</f>
        <v>1.0642392659393676E-2</v>
      </c>
      <c r="I62" s="71">
        <f>I66/I80</f>
        <v>3.1152731053326912E-2</v>
      </c>
      <c r="J62" s="71">
        <f>J66/J80</f>
        <v>3.8265133944593452E-2</v>
      </c>
      <c r="K62" s="72">
        <f>K66/K80</f>
        <v>4.7904442959165815E-2</v>
      </c>
    </row>
    <row r="63" spans="1:11" s="43" customFormat="1" ht="13.8" thickBot="1" x14ac:dyDescent="0.3">
      <c r="A63" s="139">
        <f t="shared" si="44"/>
        <v>1.0585614266353323E-2</v>
      </c>
      <c r="B63" s="139">
        <f t="shared" si="45"/>
        <v>0.11080434666913784</v>
      </c>
      <c r="C63" s="155">
        <f t="shared" si="46"/>
        <v>5.854152951942862E-2</v>
      </c>
      <c r="D63" s="156">
        <f t="shared" si="47"/>
        <v>5.2973376041436163E-2</v>
      </c>
      <c r="E63" s="51" t="s">
        <v>302</v>
      </c>
      <c r="F63" s="73">
        <f t="shared" ref="F63:K63" si="56">F65/(F80+F81)</f>
        <v>5.2535054725774286E-2</v>
      </c>
      <c r="G63" s="73">
        <f t="shared" si="56"/>
        <v>1.0585614266353323E-2</v>
      </c>
      <c r="H63" s="73">
        <f t="shared" si="56"/>
        <v>5.124939682046873E-2</v>
      </c>
      <c r="I63" s="73">
        <f t="shared" si="56"/>
        <v>0.11080434666913784</v>
      </c>
      <c r="J63" s="73">
        <f t="shared" si="56"/>
        <v>5.341169735709804E-2</v>
      </c>
      <c r="K63" s="74">
        <f t="shared" si="56"/>
        <v>7.2663067277739482E-2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127621.13</v>
      </c>
      <c r="G65" s="76">
        <f t="shared" ref="G65:K65" si="57">G97</f>
        <v>24334.61</v>
      </c>
      <c r="H65" s="76">
        <f t="shared" si="57"/>
        <v>116447.22</v>
      </c>
      <c r="I65" s="76">
        <f t="shared" si="57"/>
        <v>237620.84</v>
      </c>
      <c r="J65" s="76">
        <f t="shared" si="57"/>
        <v>100367.94</v>
      </c>
      <c r="K65" s="76">
        <f t="shared" si="57"/>
        <v>129419.82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98446.64</v>
      </c>
      <c r="G66" s="76">
        <f t="shared" ref="G66:K66" si="58">G95</f>
        <v>79705.119999999995</v>
      </c>
      <c r="H66" s="76">
        <f t="shared" si="58"/>
        <v>24181.3</v>
      </c>
      <c r="I66" s="76">
        <f t="shared" si="58"/>
        <v>66807.289999999994</v>
      </c>
      <c r="J66" s="76">
        <f t="shared" si="58"/>
        <v>71905.460000000006</v>
      </c>
      <c r="K66" s="76">
        <f t="shared" si="58"/>
        <v>85322.36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1222732.07</v>
      </c>
      <c r="G67" s="76">
        <f t="shared" ref="G67:K67" si="59">G92</f>
        <v>923172.38</v>
      </c>
      <c r="H67" s="76">
        <f t="shared" si="59"/>
        <v>764267.14</v>
      </c>
      <c r="I67" s="76">
        <f t="shared" si="59"/>
        <v>753885.2</v>
      </c>
      <c r="J67" s="76">
        <f t="shared" si="59"/>
        <v>564865.86</v>
      </c>
      <c r="K67" s="76">
        <f t="shared" si="59"/>
        <v>440215.93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130418.85</v>
      </c>
      <c r="G68" s="76">
        <f t="shared" ref="G68:K68" si="60">G102</f>
        <v>26670.16</v>
      </c>
      <c r="H68" s="76">
        <f t="shared" si="60"/>
        <v>127659.33</v>
      </c>
      <c r="I68" s="76">
        <f t="shared" si="60"/>
        <v>265370.48</v>
      </c>
      <c r="J68" s="76">
        <f t="shared" si="60"/>
        <v>98042.89</v>
      </c>
      <c r="K68" s="76">
        <f t="shared" si="60"/>
        <v>123736.73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130418.85</v>
      </c>
      <c r="G69" s="76">
        <f t="shared" ref="G69:K69" si="61">G104</f>
        <v>26670.16</v>
      </c>
      <c r="H69" s="76">
        <f t="shared" si="61"/>
        <v>127659.33</v>
      </c>
      <c r="I69" s="76">
        <f t="shared" si="61"/>
        <v>265370.48</v>
      </c>
      <c r="J69" s="76">
        <f t="shared" si="61"/>
        <v>98042.89</v>
      </c>
      <c r="K69" s="76">
        <f t="shared" si="61"/>
        <v>123736.73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218166.35</v>
      </c>
      <c r="G70" s="76">
        <f t="shared" ref="G70:K70" si="62">G93</f>
        <v>159683.23000000001</v>
      </c>
      <c r="H70" s="76">
        <f t="shared" si="62"/>
        <v>118241.88</v>
      </c>
      <c r="I70" s="76">
        <f t="shared" si="62"/>
        <v>135588.59</v>
      </c>
      <c r="J70" s="76">
        <f t="shared" si="62"/>
        <v>143961.98000000001</v>
      </c>
      <c r="K70" s="76">
        <f t="shared" si="62"/>
        <v>125962.49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16000</v>
      </c>
      <c r="G71" s="76">
        <f t="shared" ref="G71:K71" si="63">G98</f>
        <v>5209</v>
      </c>
      <c r="H71" s="76">
        <f t="shared" si="63"/>
        <v>16392.71</v>
      </c>
      <c r="I71" s="76">
        <f t="shared" si="63"/>
        <v>29566.33</v>
      </c>
      <c r="J71" s="76">
        <f t="shared" si="63"/>
        <v>1197.04</v>
      </c>
      <c r="K71" s="76">
        <f t="shared" si="63"/>
        <v>2390.44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1535658.33</v>
      </c>
      <c r="G72" s="76">
        <f t="shared" ref="G72:K74" si="64">G85</f>
        <v>1179781.56</v>
      </c>
      <c r="H72" s="76">
        <f t="shared" si="64"/>
        <v>1012462.15</v>
      </c>
      <c r="I72" s="76">
        <f t="shared" si="64"/>
        <v>1014820.77</v>
      </c>
      <c r="J72" s="76">
        <f t="shared" si="64"/>
        <v>863929.49</v>
      </c>
      <c r="K72" s="76">
        <f t="shared" si="64"/>
        <v>691639.46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4403.45</v>
      </c>
      <c r="G75" s="76">
        <f t="shared" ref="G75:K75" si="65">G100</f>
        <v>2736.23</v>
      </c>
      <c r="H75" s="76">
        <f t="shared" si="65"/>
        <v>401.32</v>
      </c>
      <c r="I75" s="76">
        <f t="shared" si="65"/>
        <v>1129.32</v>
      </c>
      <c r="J75" s="76">
        <f t="shared" si="65"/>
        <v>0.27</v>
      </c>
      <c r="K75" s="76">
        <f t="shared" si="65"/>
        <v>878.58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312926.26</v>
      </c>
      <c r="G76" s="76">
        <f t="shared" ref="G76:K78" si="66">G89</f>
        <v>256609.18</v>
      </c>
      <c r="H76" s="76">
        <f t="shared" si="66"/>
        <v>248195.01</v>
      </c>
      <c r="I76" s="76">
        <f t="shared" si="66"/>
        <v>260935.57</v>
      </c>
      <c r="J76" s="76">
        <f t="shared" si="66"/>
        <v>299063.63</v>
      </c>
      <c r="K76" s="76">
        <f t="shared" si="66"/>
        <v>251423.53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2442763.5299999998</v>
      </c>
      <c r="G79" s="76">
        <f t="shared" ref="G79:K79" si="67">G120</f>
        <v>2302982.52</v>
      </c>
      <c r="H79" s="76">
        <f t="shared" si="67"/>
        <v>2276862.52</v>
      </c>
      <c r="I79" s="76">
        <f t="shared" si="67"/>
        <v>2158039.89</v>
      </c>
      <c r="J79" s="76">
        <f t="shared" si="67"/>
        <v>1882382.81</v>
      </c>
      <c r="K79" s="76">
        <f t="shared" si="67"/>
        <v>1799227.79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2429256.63</v>
      </c>
      <c r="G80" s="76">
        <f t="shared" ref="G80:K80" si="68">G122</f>
        <v>2298837.7799999998</v>
      </c>
      <c r="H80" s="76">
        <f t="shared" si="68"/>
        <v>2272167.62</v>
      </c>
      <c r="I80" s="76">
        <f t="shared" si="68"/>
        <v>2144508.29</v>
      </c>
      <c r="J80" s="76">
        <f t="shared" si="68"/>
        <v>1879137.81</v>
      </c>
      <c r="K80" s="76">
        <f t="shared" si="68"/>
        <v>1781094.92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1535658.33</v>
      </c>
      <c r="G84" s="90">
        <v>1179781.56</v>
      </c>
      <c r="H84" s="90">
        <v>1012462.15</v>
      </c>
      <c r="I84" s="90">
        <v>1014820.77</v>
      </c>
      <c r="J84" s="90">
        <v>863929.49</v>
      </c>
      <c r="K84" s="90">
        <v>691639.46</v>
      </c>
    </row>
    <row r="85" spans="3:11" x14ac:dyDescent="0.3">
      <c r="E85" s="11" t="s">
        <v>3</v>
      </c>
      <c r="F85" s="90">
        <v>1535658.33</v>
      </c>
      <c r="G85" s="90">
        <v>1179781.56</v>
      </c>
      <c r="H85" s="90">
        <v>1012462.15</v>
      </c>
      <c r="I85" s="90">
        <v>1014820.77</v>
      </c>
      <c r="J85" s="90">
        <v>863929.49</v>
      </c>
      <c r="K85" s="90">
        <v>691639.46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312926.26</v>
      </c>
      <c r="G88" s="90">
        <v>256609.18</v>
      </c>
      <c r="H88" s="90">
        <v>248195.01</v>
      </c>
      <c r="I88" s="90">
        <v>260935.57</v>
      </c>
      <c r="J88" s="90">
        <v>299063.63</v>
      </c>
      <c r="K88" s="90">
        <v>251423.53</v>
      </c>
    </row>
    <row r="89" spans="3:11" x14ac:dyDescent="0.3">
      <c r="E89" s="11" t="s">
        <v>7</v>
      </c>
      <c r="F89" s="90">
        <v>312926.26</v>
      </c>
      <c r="G89" s="90">
        <v>256609.18</v>
      </c>
      <c r="H89" s="90">
        <v>248195.01</v>
      </c>
      <c r="I89" s="90">
        <v>260935.57</v>
      </c>
      <c r="J89" s="90">
        <v>299063.63</v>
      </c>
      <c r="K89" s="90">
        <v>251423.53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1222732.07</v>
      </c>
      <c r="G92" s="90">
        <v>923172.38</v>
      </c>
      <c r="H92" s="90">
        <v>764267.14</v>
      </c>
      <c r="I92" s="90">
        <v>753885.2</v>
      </c>
      <c r="J92" s="90">
        <v>564865.86</v>
      </c>
      <c r="K92" s="90">
        <v>440215.93</v>
      </c>
    </row>
    <row r="93" spans="3:11" x14ac:dyDescent="0.3">
      <c r="E93" s="11" t="s">
        <v>11</v>
      </c>
      <c r="F93" s="90">
        <v>218166.35</v>
      </c>
      <c r="G93" s="90">
        <v>159683.23000000001</v>
      </c>
      <c r="H93" s="90">
        <v>118241.88</v>
      </c>
      <c r="I93" s="90">
        <v>135588.59</v>
      </c>
      <c r="J93" s="90">
        <v>143961.98000000001</v>
      </c>
      <c r="K93" s="90">
        <v>125962.49</v>
      </c>
    </row>
    <row r="94" spans="3:11" x14ac:dyDescent="0.3">
      <c r="E94" s="11" t="s">
        <v>12</v>
      </c>
      <c r="F94" s="90">
        <v>119719.71</v>
      </c>
      <c r="G94" s="90">
        <v>79978.11</v>
      </c>
      <c r="H94" s="90">
        <v>94060.58</v>
      </c>
      <c r="I94" s="90">
        <v>68781.3</v>
      </c>
      <c r="J94" s="90">
        <v>72056.52</v>
      </c>
      <c r="K94" s="90">
        <v>40640.129999999997</v>
      </c>
    </row>
    <row r="95" spans="3:11" x14ac:dyDescent="0.3">
      <c r="E95" s="11" t="s">
        <v>13</v>
      </c>
      <c r="F95" s="90">
        <v>98446.64</v>
      </c>
      <c r="G95" s="90">
        <v>79705.119999999995</v>
      </c>
      <c r="H95" s="90">
        <v>24181.3</v>
      </c>
      <c r="I95" s="90">
        <v>66807.289999999994</v>
      </c>
      <c r="J95" s="90">
        <v>71905.460000000006</v>
      </c>
      <c r="K95" s="90">
        <v>85322.36</v>
      </c>
    </row>
    <row r="96" spans="3:11" x14ac:dyDescent="0.3">
      <c r="E96" s="11" t="s">
        <v>14</v>
      </c>
      <c r="F96" s="90">
        <v>1193557.58</v>
      </c>
      <c r="G96" s="90">
        <v>978542.89</v>
      </c>
      <c r="H96" s="90">
        <v>672001.22</v>
      </c>
      <c r="I96" s="90">
        <v>583071.65</v>
      </c>
      <c r="J96" s="90">
        <v>536403.38</v>
      </c>
      <c r="K96" s="90">
        <v>396118.47</v>
      </c>
    </row>
    <row r="97" spans="5:11" x14ac:dyDescent="0.3">
      <c r="E97" s="11" t="s">
        <v>15</v>
      </c>
      <c r="F97" s="90">
        <v>127621.13</v>
      </c>
      <c r="G97" s="90">
        <v>24334.61</v>
      </c>
      <c r="H97" s="90">
        <v>116447.22</v>
      </c>
      <c r="I97" s="90">
        <v>237620.84</v>
      </c>
      <c r="J97" s="90">
        <v>100367.94</v>
      </c>
      <c r="K97" s="90">
        <v>129419.82</v>
      </c>
    </row>
    <row r="98" spans="5:11" x14ac:dyDescent="0.3">
      <c r="E98" s="11" t="s">
        <v>16</v>
      </c>
      <c r="F98" s="90">
        <v>16000</v>
      </c>
      <c r="G98" s="90">
        <v>5209</v>
      </c>
      <c r="H98" s="90">
        <v>16392.71</v>
      </c>
      <c r="I98" s="90">
        <v>29566.33</v>
      </c>
      <c r="J98" s="90">
        <v>1197.04</v>
      </c>
      <c r="K98" s="90">
        <v>2390.44</v>
      </c>
    </row>
    <row r="99" spans="5:11" x14ac:dyDescent="0.3">
      <c r="E99" s="11" t="s">
        <v>17</v>
      </c>
      <c r="F99" s="90">
        <v>13650.86</v>
      </c>
      <c r="G99" s="90">
        <v>3427.08</v>
      </c>
      <c r="H99" s="90">
        <v>4263.01</v>
      </c>
      <c r="I99" s="90">
        <v>2553.96</v>
      </c>
      <c r="J99" s="90">
        <v>3475</v>
      </c>
      <c r="K99" s="90">
        <v>8952.11</v>
      </c>
    </row>
    <row r="100" spans="5:11" x14ac:dyDescent="0.3">
      <c r="E100" s="11" t="s">
        <v>18</v>
      </c>
      <c r="F100" s="90">
        <v>4403.45</v>
      </c>
      <c r="G100" s="90">
        <v>2736.23</v>
      </c>
      <c r="H100" s="107">
        <v>401.32</v>
      </c>
      <c r="I100" s="90">
        <v>1129.32</v>
      </c>
      <c r="J100" s="107">
        <v>0.27</v>
      </c>
      <c r="K100" s="107">
        <v>878.58</v>
      </c>
    </row>
    <row r="101" spans="5:11" x14ac:dyDescent="0.3">
      <c r="E101" s="11" t="s">
        <v>19</v>
      </c>
      <c r="F101" s="90">
        <v>3954.87</v>
      </c>
      <c r="G101" s="90">
        <v>2182.6</v>
      </c>
      <c r="H101" s="90">
        <v>1318.91</v>
      </c>
      <c r="I101" s="107">
        <v>392.05</v>
      </c>
      <c r="J101" s="107">
        <v>47.36</v>
      </c>
      <c r="K101" s="107">
        <v>0</v>
      </c>
    </row>
    <row r="102" spans="5:11" x14ac:dyDescent="0.3">
      <c r="E102" s="11" t="s">
        <v>20</v>
      </c>
      <c r="F102" s="90">
        <v>130418.85</v>
      </c>
      <c r="G102" s="90">
        <v>26670.16</v>
      </c>
      <c r="H102" s="90">
        <v>127659.33</v>
      </c>
      <c r="I102" s="90">
        <v>265370.48</v>
      </c>
      <c r="J102" s="90">
        <v>98042.89</v>
      </c>
      <c r="K102" s="90">
        <v>123736.73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130418.85</v>
      </c>
      <c r="G104" s="90">
        <v>26670.16</v>
      </c>
      <c r="H104" s="90">
        <v>127659.33</v>
      </c>
      <c r="I104" s="90">
        <v>265370.48</v>
      </c>
      <c r="J104" s="90">
        <v>98042.89</v>
      </c>
      <c r="K104" s="90">
        <v>123736.73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2007425.9</v>
      </c>
      <c r="G108" s="90">
        <v>1987275.57</v>
      </c>
      <c r="H108" s="90">
        <v>1907279.63</v>
      </c>
      <c r="I108" s="90">
        <v>1869618</v>
      </c>
      <c r="J108" s="90">
        <v>1743476.96</v>
      </c>
      <c r="K108" s="90">
        <v>1635053.73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1814275.25</v>
      </c>
      <c r="G110" s="90">
        <v>1865010.74</v>
      </c>
      <c r="H110" s="90">
        <v>1907279.63</v>
      </c>
      <c r="I110" s="90">
        <v>1385420.48</v>
      </c>
      <c r="J110" s="90">
        <v>1169371.33</v>
      </c>
      <c r="K110" s="90">
        <v>1230775.17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90">
        <v>193150.65</v>
      </c>
      <c r="G112" s="90">
        <v>122264.83</v>
      </c>
      <c r="H112" s="107">
        <v>0</v>
      </c>
      <c r="I112" s="90">
        <v>484197.52</v>
      </c>
      <c r="J112" s="90">
        <v>574105.63</v>
      </c>
      <c r="K112" s="90">
        <v>404278.56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435337.63</v>
      </c>
      <c r="G114" s="90">
        <v>315706.95</v>
      </c>
      <c r="H114" s="90">
        <v>369582.89</v>
      </c>
      <c r="I114" s="90">
        <v>288421.89</v>
      </c>
      <c r="J114" s="90">
        <v>138905.85</v>
      </c>
      <c r="K114" s="90">
        <v>164174.06</v>
      </c>
    </row>
    <row r="115" spans="5:11" x14ac:dyDescent="0.3">
      <c r="E115" s="8" t="s">
        <v>34</v>
      </c>
      <c r="F115" s="90">
        <v>10551</v>
      </c>
      <c r="G115" s="90">
        <v>8150</v>
      </c>
      <c r="H115" s="90">
        <v>6701</v>
      </c>
      <c r="I115" s="90">
        <v>8289</v>
      </c>
      <c r="J115" s="90">
        <v>6917</v>
      </c>
      <c r="K115" s="90">
        <v>6093</v>
      </c>
    </row>
    <row r="116" spans="5:11" ht="15" customHeight="1" x14ac:dyDescent="0.3">
      <c r="E116" s="8" t="s">
        <v>35</v>
      </c>
      <c r="F116" s="90">
        <v>2688.89</v>
      </c>
      <c r="G116" s="90">
        <v>1350.85</v>
      </c>
      <c r="H116" s="90">
        <v>15296.99</v>
      </c>
      <c r="I116" s="90">
        <v>2118.2199999999998</v>
      </c>
      <c r="J116" s="107">
        <v>530.57000000000005</v>
      </c>
      <c r="K116" s="90">
        <v>36900</v>
      </c>
    </row>
    <row r="117" spans="5:11" ht="15" customHeight="1" x14ac:dyDescent="0.3">
      <c r="E117" s="8" t="s">
        <v>36</v>
      </c>
      <c r="F117" s="90">
        <v>404209.47</v>
      </c>
      <c r="G117" s="90">
        <v>288463.28999999998</v>
      </c>
      <c r="H117" s="90">
        <v>330670.06</v>
      </c>
      <c r="I117" s="90">
        <v>264389.43</v>
      </c>
      <c r="J117" s="90">
        <v>120925.58</v>
      </c>
      <c r="K117" s="90">
        <v>110084.98</v>
      </c>
    </row>
    <row r="118" spans="5:11" ht="15" customHeight="1" x14ac:dyDescent="0.3">
      <c r="E118" s="8" t="s">
        <v>37</v>
      </c>
      <c r="F118" s="90">
        <v>17888.27</v>
      </c>
      <c r="G118" s="90">
        <v>17742.810000000001</v>
      </c>
      <c r="H118" s="90">
        <v>16914.84</v>
      </c>
      <c r="I118" s="90">
        <v>13625.24</v>
      </c>
      <c r="J118" s="90">
        <v>10532.7</v>
      </c>
      <c r="K118" s="90">
        <v>11096.08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2442763.5299999998</v>
      </c>
      <c r="G120" s="90">
        <v>2302982.52</v>
      </c>
      <c r="H120" s="90">
        <v>2276862.52</v>
      </c>
      <c r="I120" s="90">
        <v>2158039.89</v>
      </c>
      <c r="J120" s="90">
        <v>1882382.81</v>
      </c>
      <c r="K120" s="90">
        <v>1799227.79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2429256.63</v>
      </c>
      <c r="G122" s="90">
        <v>2298837.7799999998</v>
      </c>
      <c r="H122" s="90">
        <v>2272167.62</v>
      </c>
      <c r="I122" s="90">
        <v>2144508.29</v>
      </c>
      <c r="J122" s="90">
        <v>1879137.81</v>
      </c>
      <c r="K122" s="90">
        <v>1781094.92</v>
      </c>
    </row>
    <row r="123" spans="5:11" x14ac:dyDescent="0.3">
      <c r="E123" s="8" t="s">
        <v>42</v>
      </c>
      <c r="F123" s="90">
        <v>2298837.7799999998</v>
      </c>
      <c r="G123" s="90">
        <v>2272167.62</v>
      </c>
      <c r="H123" s="90">
        <v>2144508.29</v>
      </c>
      <c r="I123" s="90">
        <v>1879137.81</v>
      </c>
      <c r="J123" s="90">
        <v>1781094.92</v>
      </c>
      <c r="K123" s="90">
        <v>1657358.19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130418.85</v>
      </c>
      <c r="G126" s="90">
        <v>26670.16</v>
      </c>
      <c r="H126" s="90">
        <v>127659.33</v>
      </c>
      <c r="I126" s="90">
        <v>265370.48</v>
      </c>
      <c r="J126" s="90">
        <v>98042.89</v>
      </c>
      <c r="K126" s="90">
        <v>123736.73</v>
      </c>
    </row>
    <row r="127" spans="5:11" ht="15" customHeight="1" x14ac:dyDescent="0.3">
      <c r="E127" s="18" t="s">
        <v>91</v>
      </c>
      <c r="F127" s="90">
        <v>13506.9</v>
      </c>
      <c r="G127" s="90">
        <v>4144.74</v>
      </c>
      <c r="H127" s="90">
        <v>4694.8999999999996</v>
      </c>
      <c r="I127" s="90">
        <v>13531.6</v>
      </c>
      <c r="J127" s="90">
        <v>3245</v>
      </c>
      <c r="K127" s="90">
        <v>18132.87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13506.9</v>
      </c>
      <c r="G130" s="90">
        <v>4144.74</v>
      </c>
      <c r="H130" s="90">
        <v>4694.8999999999996</v>
      </c>
      <c r="I130" s="90">
        <v>3435</v>
      </c>
      <c r="J130" s="90">
        <v>3245</v>
      </c>
      <c r="K130" s="90">
        <v>14064.59</v>
      </c>
    </row>
    <row r="131" spans="5:11" ht="15" customHeight="1" x14ac:dyDescent="0.3">
      <c r="E131" s="17" t="s">
        <v>88</v>
      </c>
      <c r="F131" s="107">
        <v>0</v>
      </c>
      <c r="G131" s="107">
        <v>0</v>
      </c>
      <c r="H131" s="107">
        <v>0</v>
      </c>
      <c r="I131" s="90">
        <v>10096.6</v>
      </c>
      <c r="J131" s="107">
        <v>0</v>
      </c>
      <c r="K131" s="90">
        <v>4068.28</v>
      </c>
    </row>
    <row r="132" spans="5:11" x14ac:dyDescent="0.3">
      <c r="E132" s="7" t="s">
        <v>47</v>
      </c>
      <c r="F132" s="90">
        <v>2442763.5299999998</v>
      </c>
      <c r="G132" s="90">
        <v>2302982.52</v>
      </c>
      <c r="H132" s="90">
        <v>2276862.52</v>
      </c>
      <c r="I132" s="90">
        <v>2158039.89</v>
      </c>
      <c r="J132" s="90">
        <v>1882382.81</v>
      </c>
      <c r="K132" s="90">
        <v>1799227.79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540B5-4671-46D6-99C1-403EE89296C5}">
  <sheetPr>
    <tabColor theme="5" tint="0.79998168889431442"/>
  </sheetPr>
  <dimension ref="A1:L177"/>
  <sheetViews>
    <sheetView topLeftCell="A161" workbookViewId="0">
      <selection sqref="A1:K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419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8.9697765548871017E-2</v>
      </c>
      <c r="B4" s="139">
        <f>MAX(F4:K4)</f>
        <v>0.27774056071011255</v>
      </c>
      <c r="C4" s="155">
        <f>AVERAGE(F4:K4)</f>
        <v>0.16786314745144373</v>
      </c>
      <c r="D4" s="156">
        <f>MEDIAN(F4:K4)</f>
        <v>0.14633413213997137</v>
      </c>
      <c r="E4" s="47" t="s">
        <v>364</v>
      </c>
      <c r="F4" s="71">
        <f>SUM(F9:F12)/SUM(F13:F15)</f>
        <v>0.27774056071011255</v>
      </c>
      <c r="G4" s="71">
        <f t="shared" ref="G4:K4" si="0">SUM(G9:G12)/SUM(G13:G15)</f>
        <v>0.15983785444743145</v>
      </c>
      <c r="H4" s="71">
        <f t="shared" si="0"/>
        <v>0.23988798901102404</v>
      </c>
      <c r="I4" s="71">
        <f t="shared" si="0"/>
        <v>0.10718430515871202</v>
      </c>
      <c r="J4" s="71">
        <f t="shared" si="0"/>
        <v>8.9697765548871017E-2</v>
      </c>
      <c r="K4" s="71">
        <f t="shared" si="0"/>
        <v>0.13283040983251129</v>
      </c>
    </row>
    <row r="5" spans="1:11" s="43" customFormat="1" ht="13.2" x14ac:dyDescent="0.25">
      <c r="A5" s="139">
        <f t="shared" ref="A5:A7" si="1">MIN(F5:K5)</f>
        <v>0.15666409075416685</v>
      </c>
      <c r="B5" s="139">
        <f t="shared" ref="B5:B7" si="2">MAX(F5:K5)</f>
        <v>0.49386344443042363</v>
      </c>
      <c r="C5" s="155">
        <f t="shared" ref="C5:C7" si="3">AVERAGEIF(F5:K5,"&gt;0")</f>
        <v>0.3056118781028932</v>
      </c>
      <c r="D5" s="156">
        <f t="shared" ref="D5:D7" si="4">_xlfn.AGGREGATE(12,6,F5:K5)</f>
        <v>0.29414762032361086</v>
      </c>
      <c r="E5" s="47" t="s">
        <v>363</v>
      </c>
      <c r="F5" s="71">
        <f t="shared" ref="F5:K5" si="5">SUM(F9:F12)/F14</f>
        <v>0.39744672918658658</v>
      </c>
      <c r="G5" s="71">
        <f t="shared" si="5"/>
        <v>0.36726223271047964</v>
      </c>
      <c r="H5" s="71">
        <f t="shared" si="5"/>
        <v>0.49386344443042363</v>
      </c>
      <c r="I5" s="71">
        <f t="shared" si="5"/>
        <v>0.19740176359896075</v>
      </c>
      <c r="J5" s="71">
        <f t="shared" si="5"/>
        <v>0.15666409075416685</v>
      </c>
      <c r="K5" s="71">
        <f t="shared" si="5"/>
        <v>0.22103300793674202</v>
      </c>
    </row>
    <row r="6" spans="1:11" s="43" customFormat="1" ht="13.2" x14ac:dyDescent="0.25">
      <c r="A6" s="139">
        <f t="shared" si="1"/>
        <v>0.13185188030422881</v>
      </c>
      <c r="B6" s="139">
        <f t="shared" si="2"/>
        <v>0.48858400007597208</v>
      </c>
      <c r="C6" s="155">
        <f t="shared" si="3"/>
        <v>0.24513616098514687</v>
      </c>
      <c r="D6" s="156">
        <f t="shared" si="4"/>
        <v>0.20517789221021693</v>
      </c>
      <c r="E6" s="47" t="s">
        <v>365</v>
      </c>
      <c r="F6" s="71">
        <f t="shared" ref="F6:K6" si="6">SUM(F10:F11)/F14</f>
        <v>0.28797783900140128</v>
      </c>
      <c r="G6" s="71">
        <f t="shared" si="6"/>
        <v>0.13185188030422881</v>
      </c>
      <c r="H6" s="71">
        <f t="shared" si="6"/>
        <v>0.48858400007597208</v>
      </c>
      <c r="I6" s="71">
        <f t="shared" si="6"/>
        <v>0.19219689835159173</v>
      </c>
      <c r="J6" s="71">
        <f t="shared" si="6"/>
        <v>0.1520474621088449</v>
      </c>
      <c r="K6" s="71">
        <f t="shared" si="6"/>
        <v>0.21815888606884212</v>
      </c>
    </row>
    <row r="7" spans="1:11" s="43" customFormat="1" ht="13.8" thickBot="1" x14ac:dyDescent="0.3">
      <c r="A7" s="139">
        <f t="shared" si="1"/>
        <v>0</v>
      </c>
      <c r="B7" s="139">
        <f t="shared" si="2"/>
        <v>0.20324052916870131</v>
      </c>
      <c r="C7" s="155">
        <f t="shared" si="3"/>
        <v>0.10912824276088025</v>
      </c>
      <c r="D7" s="156">
        <f t="shared" si="4"/>
        <v>8.7132017781074683E-2</v>
      </c>
      <c r="E7" s="49" t="s">
        <v>366</v>
      </c>
      <c r="F7" s="73">
        <f t="shared" ref="F7:K7" si="7">F11/F14</f>
        <v>0</v>
      </c>
      <c r="G7" s="73">
        <f t="shared" si="7"/>
        <v>6.1837240222574058E-3</v>
      </c>
      <c r="H7" s="73">
        <f t="shared" si="7"/>
        <v>0.16195292505129311</v>
      </c>
      <c r="I7" s="73">
        <f t="shared" si="7"/>
        <v>4.409798927518236E-2</v>
      </c>
      <c r="J7" s="73">
        <f t="shared" si="7"/>
        <v>0.13016604628696701</v>
      </c>
      <c r="K7" s="73">
        <f t="shared" si="7"/>
        <v>0.20324052916870131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30888.99</v>
      </c>
      <c r="G9" s="76">
        <f t="shared" ref="G9:K12" si="8">G115</f>
        <v>29418.09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81259.11</v>
      </c>
      <c r="G10" s="76">
        <f t="shared" si="8"/>
        <v>15704.14</v>
      </c>
      <c r="H10" s="76">
        <f t="shared" si="8"/>
        <v>47808.85</v>
      </c>
      <c r="I10" s="76">
        <f t="shared" si="8"/>
        <v>21987.78</v>
      </c>
      <c r="J10" s="76">
        <f t="shared" si="8"/>
        <v>3662.6</v>
      </c>
      <c r="K10" s="76">
        <f t="shared" si="8"/>
        <v>4011.02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0</v>
      </c>
      <c r="G11" s="76">
        <f t="shared" si="8"/>
        <v>772.75</v>
      </c>
      <c r="H11" s="76">
        <f t="shared" si="8"/>
        <v>23704.98</v>
      </c>
      <c r="I11" s="76">
        <f t="shared" si="8"/>
        <v>6547.09</v>
      </c>
      <c r="J11" s="76">
        <f t="shared" si="8"/>
        <v>21787.72</v>
      </c>
      <c r="K11" s="76">
        <f t="shared" si="8"/>
        <v>54644.21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772.75</v>
      </c>
      <c r="I12" s="76">
        <f t="shared" si="8"/>
        <v>772.75</v>
      </c>
      <c r="J12" s="76">
        <f t="shared" si="8"/>
        <v>772.75</v>
      </c>
      <c r="K12" s="76">
        <f t="shared" si="8"/>
        <v>772.75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162169.46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282171.40000000002</v>
      </c>
      <c r="G14" s="76">
        <f t="shared" ref="G14:K15" si="10">G130</f>
        <v>124965.15</v>
      </c>
      <c r="H14" s="76">
        <f t="shared" si="10"/>
        <v>146369.57</v>
      </c>
      <c r="I14" s="76">
        <f t="shared" si="10"/>
        <v>148466.85999999999</v>
      </c>
      <c r="J14" s="76">
        <f t="shared" si="10"/>
        <v>167384.04999999999</v>
      </c>
      <c r="K14" s="76">
        <f t="shared" si="10"/>
        <v>268864.73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121615.86</v>
      </c>
      <c r="G15" s="76">
        <f t="shared" si="10"/>
        <v>0</v>
      </c>
      <c r="H15" s="76">
        <f t="shared" si="10"/>
        <v>154965.15</v>
      </c>
      <c r="I15" s="76">
        <f t="shared" si="10"/>
        <v>124965.15</v>
      </c>
      <c r="J15" s="76">
        <f t="shared" si="10"/>
        <v>124965.15</v>
      </c>
      <c r="K15" s="76">
        <f t="shared" si="10"/>
        <v>178532.67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3.6800415822850039</v>
      </c>
      <c r="B19" s="152">
        <f t="shared" ref="B19:B25" si="12">MAX(F19:K19)</f>
        <v>56.16686689892358</v>
      </c>
      <c r="C19" s="156">
        <f>AVERAGE(F19:K19)</f>
        <v>20.487691662915715</v>
      </c>
      <c r="D19" s="156">
        <f>MEDIAN(F19:K19)</f>
        <v>16.187776564249553</v>
      </c>
      <c r="E19" s="47" t="s">
        <v>293</v>
      </c>
      <c r="F19" s="71">
        <f>F28/(F27/365)</f>
        <v>56.16686689892358</v>
      </c>
      <c r="G19" s="71">
        <f t="shared" ref="G19:K19" si="13">G28/(G27/365)</f>
        <v>11.940293026138711</v>
      </c>
      <c r="H19" s="71">
        <f t="shared" si="13"/>
        <v>25.331925869456072</v>
      </c>
      <c r="I19" s="71">
        <f t="shared" si="13"/>
        <v>20.435260102360399</v>
      </c>
      <c r="J19" s="71">
        <f t="shared" si="13"/>
        <v>3.6800415822850039</v>
      </c>
      <c r="K19" s="71">
        <f t="shared" si="13"/>
        <v>5.3717624983305221</v>
      </c>
    </row>
    <row r="20" spans="1:11" s="43" customFormat="1" ht="13.2" x14ac:dyDescent="0.25">
      <c r="A20" s="152">
        <f t="shared" si="11"/>
        <v>0</v>
      </c>
      <c r="B20" s="152">
        <f t="shared" si="12"/>
        <v>22.367389418925264</v>
      </c>
      <c r="C20" s="156">
        <f t="shared" ref="C20:C25" si="14">AVERAGE(F20:K20)</f>
        <v>7.2863460010359979</v>
      </c>
      <c r="D20" s="156">
        <f t="shared" ref="D20:D25" si="15">MEDIAN(F20:K20)</f>
        <v>0</v>
      </c>
      <c r="E20" s="121" t="s">
        <v>367</v>
      </c>
      <c r="F20" s="71">
        <f>F29/(F27/365)</f>
        <v>21.350686587290724</v>
      </c>
      <c r="G20" s="71">
        <f t="shared" ref="G20:K20" si="16">G29/(G27/365)</f>
        <v>22.367389418925264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77.555161790843357</v>
      </c>
      <c r="B21" s="152">
        <f t="shared" si="12"/>
        <v>360.07735532053226</v>
      </c>
      <c r="C21" s="156">
        <f t="shared" si="14"/>
        <v>172.30847477632437</v>
      </c>
      <c r="D21" s="156">
        <f t="shared" si="15"/>
        <v>153.08250610800383</v>
      </c>
      <c r="E21" s="47" t="s">
        <v>368</v>
      </c>
      <c r="F21" s="71">
        <f>F30/(F27/365)</f>
        <v>195.03885123136257</v>
      </c>
      <c r="G21" s="71">
        <f t="shared" ref="G21:K21" si="17">G30/(G27/365)</f>
        <v>95.014468099200471</v>
      </c>
      <c r="H21" s="71">
        <f t="shared" si="17"/>
        <v>77.555161790843357</v>
      </c>
      <c r="I21" s="71">
        <f t="shared" si="17"/>
        <v>137.98386652407507</v>
      </c>
      <c r="J21" s="71">
        <f t="shared" si="17"/>
        <v>168.18114569193256</v>
      </c>
      <c r="K21" s="71">
        <f t="shared" si="17"/>
        <v>360.07735532053226</v>
      </c>
    </row>
    <row r="22" spans="1:11" s="43" customFormat="1" ht="13.2" x14ac:dyDescent="0.25">
      <c r="A22" s="152">
        <f t="shared" si="11"/>
        <v>-354.70559282220177</v>
      </c>
      <c r="B22" s="152">
        <f t="shared" si="12"/>
        <v>-52.223235921387285</v>
      </c>
      <c r="C22" s="156">
        <f t="shared" si="14"/>
        <v>-144.53443711237267</v>
      </c>
      <c r="D22" s="156">
        <f t="shared" si="15"/>
        <v>-117.53495208343148</v>
      </c>
      <c r="E22" s="47" t="s">
        <v>294</v>
      </c>
      <c r="F22" s="71">
        <f>F19+F20-F21</f>
        <v>-117.52129774514827</v>
      </c>
      <c r="G22" s="71">
        <f t="shared" ref="G22:K22" si="18">G19+G20-G21</f>
        <v>-60.706785654136496</v>
      </c>
      <c r="H22" s="71">
        <f t="shared" si="18"/>
        <v>-52.223235921387285</v>
      </c>
      <c r="I22" s="71">
        <f t="shared" si="18"/>
        <v>-117.54860642171467</v>
      </c>
      <c r="J22" s="71">
        <f t="shared" si="18"/>
        <v>-164.50110410964754</v>
      </c>
      <c r="K22" s="71">
        <f t="shared" si="18"/>
        <v>-354.70559282220177</v>
      </c>
    </row>
    <row r="23" spans="1:11" s="43" customFormat="1" ht="13.2" x14ac:dyDescent="0.25">
      <c r="A23" s="152">
        <f t="shared" si="11"/>
        <v>0.42346260297297539</v>
      </c>
      <c r="B23" s="152">
        <f t="shared" si="12"/>
        <v>1.5691343263591311</v>
      </c>
      <c r="C23" s="156">
        <f t="shared" si="14"/>
        <v>0.92306366817937269</v>
      </c>
      <c r="D23" s="156">
        <f t="shared" si="15"/>
        <v>0.90487616049903785</v>
      </c>
      <c r="E23" s="47" t="s">
        <v>295</v>
      </c>
      <c r="F23" s="71">
        <f>F27/F31</f>
        <v>1.0351819134099089</v>
      </c>
      <c r="G23" s="71">
        <f t="shared" ref="G23:K23" si="19">G27/G31</f>
        <v>1.0815441147530078</v>
      </c>
      <c r="H23" s="71">
        <f t="shared" si="19"/>
        <v>1.5691343263591311</v>
      </c>
      <c r="I23" s="71">
        <f t="shared" si="19"/>
        <v>0.77457040758816686</v>
      </c>
      <c r="J23" s="71">
        <f t="shared" si="19"/>
        <v>0.65448864399304607</v>
      </c>
      <c r="K23" s="71">
        <f t="shared" si="19"/>
        <v>0.42346260297297539</v>
      </c>
    </row>
    <row r="24" spans="1:11" s="43" customFormat="1" ht="13.2" x14ac:dyDescent="0.25">
      <c r="A24" s="152">
        <f t="shared" si="11"/>
        <v>0.46654159271081452</v>
      </c>
      <c r="B24" s="152">
        <f t="shared" si="12"/>
        <v>1.8784351310211103</v>
      </c>
      <c r="C24" s="156">
        <f t="shared" si="14"/>
        <v>1.0645299854372359</v>
      </c>
      <c r="D24" s="156">
        <f t="shared" si="15"/>
        <v>1.0141805052020134</v>
      </c>
      <c r="E24" s="121" t="s">
        <v>369</v>
      </c>
      <c r="F24" s="71">
        <f>F27/F32</f>
        <v>1.3268988861760724</v>
      </c>
      <c r="G24" s="71">
        <f t="shared" ref="G24:K24" si="20">G27/G32</f>
        <v>1.2062717032838288</v>
      </c>
      <c r="H24" s="71">
        <f t="shared" si="20"/>
        <v>1.8784351310211103</v>
      </c>
      <c r="I24" s="71">
        <f t="shared" si="20"/>
        <v>0.82208930712019812</v>
      </c>
      <c r="J24" s="71">
        <f t="shared" si="20"/>
        <v>0.68694329231139162</v>
      </c>
      <c r="K24" s="71">
        <f t="shared" si="20"/>
        <v>0.46654159271081452</v>
      </c>
    </row>
    <row r="25" spans="1:11" s="43" customFormat="1" ht="13.8" thickBot="1" x14ac:dyDescent="0.3">
      <c r="A25" s="152">
        <f t="shared" si="11"/>
        <v>4.5860619862899599</v>
      </c>
      <c r="B25" s="152">
        <f t="shared" si="12"/>
        <v>13.853072123134325</v>
      </c>
      <c r="C25" s="156">
        <f t="shared" si="14"/>
        <v>9.4229185330148209</v>
      </c>
      <c r="D25" s="156">
        <f t="shared" si="15"/>
        <v>9.9947484360778382</v>
      </c>
      <c r="E25" s="49" t="s">
        <v>296</v>
      </c>
      <c r="F25" s="73">
        <f>F27/F33</f>
        <v>4.7086109350046943</v>
      </c>
      <c r="G25" s="73">
        <f t="shared" ref="G25:K25" si="21">G27/G33</f>
        <v>10.459883629974346</v>
      </c>
      <c r="H25" s="73">
        <f t="shared" si="21"/>
        <v>9.5296132421813287</v>
      </c>
      <c r="I25" s="73">
        <f t="shared" si="21"/>
        <v>13.400269281504265</v>
      </c>
      <c r="J25" s="73">
        <f t="shared" si="21"/>
        <v>13.853072123134325</v>
      </c>
      <c r="K25" s="73">
        <f t="shared" si="21"/>
        <v>4.5860619862899599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528061.77</v>
      </c>
      <c r="G27" s="76">
        <f t="shared" ref="G27:K27" si="22">G93+G86</f>
        <v>480056.15</v>
      </c>
      <c r="H27" s="76">
        <f t="shared" si="22"/>
        <v>688863.15</v>
      </c>
      <c r="I27" s="76">
        <f t="shared" si="22"/>
        <v>392730</v>
      </c>
      <c r="J27" s="76">
        <f t="shared" si="22"/>
        <v>363270.08</v>
      </c>
      <c r="K27" s="76">
        <f t="shared" si="22"/>
        <v>272540.40000000002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81259.11</v>
      </c>
      <c r="G28" s="76">
        <f t="shared" ref="G28:K28" si="23">G116</f>
        <v>15704.14</v>
      </c>
      <c r="H28" s="76">
        <f t="shared" si="23"/>
        <v>47808.85</v>
      </c>
      <c r="I28" s="76">
        <f t="shared" si="23"/>
        <v>21987.78</v>
      </c>
      <c r="J28" s="76">
        <f t="shared" si="23"/>
        <v>3662.6</v>
      </c>
      <c r="K28" s="76">
        <f t="shared" si="23"/>
        <v>4011.02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30888.99</v>
      </c>
      <c r="G29" s="76">
        <f t="shared" ref="G29:K29" si="24">G115</f>
        <v>29418.09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282171.40000000002</v>
      </c>
      <c r="G30" s="76">
        <f t="shared" ref="G30:K30" si="25">G130</f>
        <v>124965.15</v>
      </c>
      <c r="H30" s="76">
        <f t="shared" si="25"/>
        <v>146369.57</v>
      </c>
      <c r="I30" s="76">
        <f t="shared" si="25"/>
        <v>148466.85999999999</v>
      </c>
      <c r="J30" s="76">
        <f t="shared" si="25"/>
        <v>167384.04999999999</v>
      </c>
      <c r="K30" s="76">
        <f t="shared" si="25"/>
        <v>268864.73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510114.95</v>
      </c>
      <c r="G31" s="76">
        <f t="shared" ref="G31:K31" si="26">G120</f>
        <v>443861.83</v>
      </c>
      <c r="H31" s="76">
        <f t="shared" si="26"/>
        <v>439008.4</v>
      </c>
      <c r="I31" s="76">
        <f t="shared" si="26"/>
        <v>507029.44</v>
      </c>
      <c r="J31" s="76">
        <f t="shared" si="26"/>
        <v>555044.13</v>
      </c>
      <c r="K31" s="76">
        <f t="shared" si="26"/>
        <v>643599.68999999994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397966.85</v>
      </c>
      <c r="G32" s="76">
        <f t="shared" ref="G32:K32" si="27">G108</f>
        <v>397966.85</v>
      </c>
      <c r="H32" s="76">
        <f t="shared" si="27"/>
        <v>366721.82</v>
      </c>
      <c r="I32" s="76">
        <f t="shared" si="27"/>
        <v>477721.82</v>
      </c>
      <c r="J32" s="76">
        <f t="shared" si="27"/>
        <v>528821.06000000006</v>
      </c>
      <c r="K32" s="76">
        <f t="shared" si="27"/>
        <v>584171.71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112148.1</v>
      </c>
      <c r="G33" s="76">
        <f t="shared" ref="G33:K33" si="28">G114</f>
        <v>45894.98</v>
      </c>
      <c r="H33" s="76">
        <f t="shared" si="28"/>
        <v>72286.58</v>
      </c>
      <c r="I33" s="76">
        <f t="shared" si="28"/>
        <v>29307.62</v>
      </c>
      <c r="J33" s="76">
        <f t="shared" si="28"/>
        <v>26223.07</v>
      </c>
      <c r="K33" s="76">
        <f t="shared" si="28"/>
        <v>59427.98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0.66170777142305248</v>
      </c>
      <c r="B37" s="139">
        <f t="shared" ref="B37:B41" si="30">MAX(F37:K37)</f>
        <v>1.0816873425902189</v>
      </c>
      <c r="C37" s="160">
        <f t="shared" ref="C37:C41" si="31">AVERAGE(F37:K37)</f>
        <v>0.85886825942520073</v>
      </c>
      <c r="D37" s="160">
        <f t="shared" ref="D37:D41" si="32">MEDIAN(F37:K37)</f>
        <v>0.80939261555901776</v>
      </c>
      <c r="E37" s="47" t="s">
        <v>370</v>
      </c>
      <c r="F37" s="119">
        <f>F43/F44*100%</f>
        <v>0.80747872611849547</v>
      </c>
      <c r="G37" s="119">
        <f t="shared" ref="G37:K37" si="33">G43/G44*100%</f>
        <v>0.81130650499954005</v>
      </c>
      <c r="H37" s="119">
        <f t="shared" si="33"/>
        <v>0.66170777142305248</v>
      </c>
      <c r="I37" s="119">
        <f t="shared" si="33"/>
        <v>1.0326560524769528</v>
      </c>
      <c r="J37" s="119">
        <f t="shared" si="33"/>
        <v>1.0816873425902189</v>
      </c>
      <c r="K37" s="119">
        <f t="shared" si="33"/>
        <v>0.75837315894294488</v>
      </c>
    </row>
    <row r="38" spans="1:11" s="43" customFormat="1" ht="13.2" x14ac:dyDescent="0.25">
      <c r="A38" s="139">
        <f t="shared" si="29"/>
        <v>-45.023925840279482</v>
      </c>
      <c r="B38" s="139">
        <f t="shared" si="30"/>
        <v>-3.5253421753401226</v>
      </c>
      <c r="C38" s="155">
        <f t="shared" si="31"/>
        <v>-15.939901286704304</v>
      </c>
      <c r="D38" s="156">
        <f t="shared" si="32"/>
        <v>-11.094617686397607</v>
      </c>
      <c r="E38" s="50" t="s">
        <v>298</v>
      </c>
      <c r="F38" s="122">
        <f>F43/F45</f>
        <v>-17.59693615995981</v>
      </c>
      <c r="G38" s="122">
        <f t="shared" ref="G38:K38" si="34">G43/G45</f>
        <v>-4.5922992128354023</v>
      </c>
      <c r="H38" s="122">
        <f t="shared" si="34"/>
        <v>-45.023925840279482</v>
      </c>
      <c r="I38" s="122">
        <f t="shared" si="34"/>
        <v>-3.6996673255243162</v>
      </c>
      <c r="J38" s="122">
        <f t="shared" si="34"/>
        <v>-3.5253421753401226</v>
      </c>
      <c r="K38" s="122">
        <f t="shared" si="34"/>
        <v>-21.201237006286675</v>
      </c>
    </row>
    <row r="39" spans="1:11" s="43" customFormat="1" ht="13.2" x14ac:dyDescent="0.25">
      <c r="A39" s="139">
        <f t="shared" si="29"/>
        <v>-68.042008549260544</v>
      </c>
      <c r="B39" s="139">
        <f t="shared" si="30"/>
        <v>-3.2591138275671274</v>
      </c>
      <c r="C39" s="155">
        <f t="shared" si="31"/>
        <v>-21.715470251903852</v>
      </c>
      <c r="D39" s="156">
        <f t="shared" si="32"/>
        <v>-13.726410362995111</v>
      </c>
      <c r="E39" s="50" t="s">
        <v>299</v>
      </c>
      <c r="F39" s="122">
        <f>F44/F45</f>
        <v>-21.792445535435075</v>
      </c>
      <c r="G39" s="122">
        <f t="shared" ref="G39:K39" si="35">G44/G45</f>
        <v>-5.6603751905551478</v>
      </c>
      <c r="H39" s="122">
        <f t="shared" si="35"/>
        <v>-68.042008549260544</v>
      </c>
      <c r="I39" s="122">
        <f t="shared" si="35"/>
        <v>-3.5826714196369727</v>
      </c>
      <c r="J39" s="122">
        <f t="shared" si="35"/>
        <v>-3.2591138275671274</v>
      </c>
      <c r="K39" s="122">
        <f t="shared" si="35"/>
        <v>-27.956206988968237</v>
      </c>
    </row>
    <row r="40" spans="1:11" s="43" customFormat="1" ht="13.2" x14ac:dyDescent="0.25">
      <c r="A40" s="139">
        <f t="shared" si="29"/>
        <v>0.25432614746931059</v>
      </c>
      <c r="B40" s="139">
        <f t="shared" si="30"/>
        <v>0.78011843851046581</v>
      </c>
      <c r="C40" s="160">
        <f t="shared" si="31"/>
        <v>0.49549489849949752</v>
      </c>
      <c r="D40" s="160">
        <f t="shared" si="32"/>
        <v>0.43519375944420791</v>
      </c>
      <c r="E40" s="77" t="s">
        <v>371</v>
      </c>
      <c r="F40" s="119">
        <f>F46/F44*100%</f>
        <v>0.25432614746931059</v>
      </c>
      <c r="G40" s="119">
        <f t="shared" ref="G40:K40" si="36">G46/G44*100%</f>
        <v>0.52976585078288885</v>
      </c>
      <c r="H40" s="119">
        <f t="shared" si="36"/>
        <v>0.32829827401935818</v>
      </c>
      <c r="I40" s="119">
        <f t="shared" si="36"/>
        <v>0.73983901210943481</v>
      </c>
      <c r="J40" s="119">
        <f t="shared" si="36"/>
        <v>0.78011843851046581</v>
      </c>
      <c r="K40" s="119">
        <f t="shared" si="36"/>
        <v>0.34062166810552691</v>
      </c>
    </row>
    <row r="41" spans="1:11" s="43" customFormat="1" ht="13.8" thickBot="1" x14ac:dyDescent="0.3">
      <c r="A41" s="139">
        <f t="shared" si="29"/>
        <v>-9.5408631542905074</v>
      </c>
      <c r="B41" s="139">
        <f t="shared" si="30"/>
        <v>91.973247661190925</v>
      </c>
      <c r="C41" s="155">
        <f t="shared" si="31"/>
        <v>18.294710910843559</v>
      </c>
      <c r="D41" s="156">
        <f t="shared" si="32"/>
        <v>4.1820392911235675</v>
      </c>
      <c r="E41" s="51" t="s">
        <v>300</v>
      </c>
      <c r="F41" s="171"/>
      <c r="G41" s="123">
        <f t="shared" ref="G41:K41" si="37">(G47+G48)/G48</f>
        <v>11.527663137890988</v>
      </c>
      <c r="H41" s="123">
        <f t="shared" si="37"/>
        <v>91.973247661190925</v>
      </c>
      <c r="I41" s="123">
        <f t="shared" si="37"/>
        <v>4.1820392911235675</v>
      </c>
      <c r="J41" s="123">
        <f t="shared" si="37"/>
        <v>-6.6685323816971787</v>
      </c>
      <c r="K41" s="123">
        <f t="shared" si="37"/>
        <v>-9.5408631542905074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411906.97000000003</v>
      </c>
      <c r="G43" s="76">
        <f t="shared" ref="G43:K43" si="38">G129+G130</f>
        <v>360107.99</v>
      </c>
      <c r="H43" s="76">
        <f t="shared" si="38"/>
        <v>290495.27</v>
      </c>
      <c r="I43" s="76">
        <f t="shared" si="38"/>
        <v>523587.01999999996</v>
      </c>
      <c r="J43" s="76">
        <f t="shared" si="38"/>
        <v>600384.21</v>
      </c>
      <c r="K43" s="76">
        <f t="shared" si="38"/>
        <v>488088.73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510114.95</v>
      </c>
      <c r="G44" s="76">
        <f t="shared" ref="G44:K44" si="39">G120</f>
        <v>443861.83</v>
      </c>
      <c r="H44" s="76">
        <f t="shared" si="39"/>
        <v>439008.4</v>
      </c>
      <c r="I44" s="76">
        <f t="shared" si="39"/>
        <v>507029.44</v>
      </c>
      <c r="J44" s="76">
        <f t="shared" si="39"/>
        <v>555044.13</v>
      </c>
      <c r="K44" s="76">
        <f t="shared" si="39"/>
        <v>643599.68999999994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-23407.88</v>
      </c>
      <c r="G45" s="76">
        <f t="shared" ref="G45:K45" si="40">G122</f>
        <v>-78415.62</v>
      </c>
      <c r="H45" s="76">
        <f t="shared" si="40"/>
        <v>-6452.02</v>
      </c>
      <c r="I45" s="76">
        <f t="shared" si="40"/>
        <v>-141522.73000000001</v>
      </c>
      <c r="J45" s="76">
        <f t="shared" si="40"/>
        <v>-170305.23</v>
      </c>
      <c r="K45" s="76">
        <f t="shared" si="40"/>
        <v>-23021.71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129735.57</v>
      </c>
      <c r="G46" s="76">
        <f t="shared" ref="G46:K46" si="41">G129</f>
        <v>235142.84</v>
      </c>
      <c r="H46" s="76">
        <f t="shared" si="41"/>
        <v>144125.70000000001</v>
      </c>
      <c r="I46" s="76">
        <f t="shared" si="41"/>
        <v>375120.16</v>
      </c>
      <c r="J46" s="76">
        <f t="shared" si="41"/>
        <v>433000.16</v>
      </c>
      <c r="K46" s="76">
        <f t="shared" si="41"/>
        <v>219224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55007.74</v>
      </c>
      <c r="G47" s="76">
        <f t="shared" ref="G47:K47" si="42">G102</f>
        <v>43875.51</v>
      </c>
      <c r="H47" s="76">
        <f t="shared" si="42"/>
        <v>135070.71</v>
      </c>
      <c r="I47" s="76">
        <f t="shared" si="42"/>
        <v>28782.5</v>
      </c>
      <c r="J47" s="76">
        <f t="shared" si="42"/>
        <v>-147283.51999999999</v>
      </c>
      <c r="K47" s="76">
        <f t="shared" si="42"/>
        <v>-202565.77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0</v>
      </c>
      <c r="G48" s="76">
        <f t="shared" ref="G48:K48" si="43">G101</f>
        <v>4167.6400000000003</v>
      </c>
      <c r="H48" s="76">
        <f t="shared" si="43"/>
        <v>1484.73</v>
      </c>
      <c r="I48" s="76">
        <f t="shared" si="43"/>
        <v>9045.2999999999993</v>
      </c>
      <c r="J48" s="76">
        <f t="shared" si="43"/>
        <v>19206.22</v>
      </c>
      <c r="K48" s="76">
        <f t="shared" si="43"/>
        <v>19217.189999999999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-0.71334258426641994</v>
      </c>
      <c r="B52" s="139">
        <f t="shared" ref="B52:B63" si="45">MAX(F52:K52)</f>
        <v>0.20147913268404616</v>
      </c>
      <c r="C52" s="160">
        <f t="shared" ref="C52:C63" si="46">AVERAGE(F52:K52)</f>
        <v>-9.5383581499224587E-2</v>
      </c>
      <c r="D52" s="160">
        <f t="shared" ref="D52:D63" si="47">MEDIAN(F52:K52)</f>
        <v>9.3809644630972217E-2</v>
      </c>
      <c r="E52" s="50" t="s">
        <v>350</v>
      </c>
      <c r="F52" s="119">
        <f t="shared" ref="F52:K52" si="48">(F65/(F70+F71))*100%</f>
        <v>0.10416913915203518</v>
      </c>
      <c r="G52" s="119">
        <f t="shared" si="48"/>
        <v>0.10007818877020948</v>
      </c>
      <c r="H52" s="119">
        <f t="shared" si="48"/>
        <v>0.20147913268404616</v>
      </c>
      <c r="I52" s="119">
        <f t="shared" si="48"/>
        <v>8.7541100491734969E-2</v>
      </c>
      <c r="J52" s="119">
        <f t="shared" si="48"/>
        <v>-0.35222646582695327</v>
      </c>
      <c r="K52" s="120">
        <f t="shared" si="48"/>
        <v>-0.71334258426641994</v>
      </c>
    </row>
    <row r="53" spans="1:11" s="43" customFormat="1" ht="13.2" x14ac:dyDescent="0.25">
      <c r="A53" s="139">
        <f t="shared" si="44"/>
        <v>-0.13369749887336638</v>
      </c>
      <c r="B53" s="139">
        <f t="shared" si="45"/>
        <v>0.4079047195368195</v>
      </c>
      <c r="C53" s="160">
        <f t="shared" si="46"/>
        <v>0.23360348486375956</v>
      </c>
      <c r="D53" s="160">
        <f t="shared" si="47"/>
        <v>0.31407754758011985</v>
      </c>
      <c r="E53" s="50" t="s">
        <v>351</v>
      </c>
      <c r="F53" s="119">
        <f>(F66/F70)*100%</f>
        <v>0.35616943070883544</v>
      </c>
      <c r="G53" s="119">
        <f t="shared" ref="G53:K53" si="49">(G66/G70)*100%</f>
        <v>0.36196969875294793</v>
      </c>
      <c r="H53" s="119">
        <f t="shared" si="49"/>
        <v>0.4079047195368195</v>
      </c>
      <c r="I53" s="119">
        <f t="shared" si="49"/>
        <v>0.27198566445140426</v>
      </c>
      <c r="J53" s="119">
        <f t="shared" si="49"/>
        <v>0.13728889460591648</v>
      </c>
      <c r="K53" s="120">
        <f t="shared" si="49"/>
        <v>-0.13369749887336638</v>
      </c>
    </row>
    <row r="54" spans="1:11" s="43" customFormat="1" ht="13.2" x14ac:dyDescent="0.25">
      <c r="A54" s="139">
        <f t="shared" si="44"/>
        <v>-0.71477268207865829</v>
      </c>
      <c r="B54" s="139">
        <f t="shared" si="45"/>
        <v>-0.26666858920182829</v>
      </c>
      <c r="C54" s="160">
        <f t="shared" si="46"/>
        <v>-0.53584254591090497</v>
      </c>
      <c r="D54" s="160">
        <f t="shared" si="47"/>
        <v>-0.54760597264096744</v>
      </c>
      <c r="E54" s="50" t="s">
        <v>342</v>
      </c>
      <c r="F54" s="119">
        <f>(F67/SUM(F72:F74))*100%</f>
        <v>-0.5476059627421509</v>
      </c>
      <c r="G54" s="119">
        <f t="shared" ref="G54:K54" si="50">(G67/SUM(G72:G74))*100%</f>
        <v>-0.5476059825397841</v>
      </c>
      <c r="H54" s="119">
        <f t="shared" si="50"/>
        <v>-0.65577343695367263</v>
      </c>
      <c r="I54" s="119">
        <f t="shared" si="50"/>
        <v>-0.26666858920182829</v>
      </c>
      <c r="J54" s="119">
        <f t="shared" si="50"/>
        <v>-0.48262862194933553</v>
      </c>
      <c r="K54" s="120">
        <f t="shared" si="50"/>
        <v>-0.71477268207865829</v>
      </c>
    </row>
    <row r="55" spans="1:11" s="43" customFormat="1" ht="13.2" x14ac:dyDescent="0.25">
      <c r="A55" s="139">
        <f t="shared" si="44"/>
        <v>-0.57744405436324764</v>
      </c>
      <c r="B55" s="139">
        <f t="shared" si="45"/>
        <v>-0.13653217336973447</v>
      </c>
      <c r="C55" s="160">
        <f t="shared" si="46"/>
        <v>-0.34052686691709416</v>
      </c>
      <c r="D55" s="160">
        <f t="shared" si="47"/>
        <v>-0.35384069480326807</v>
      </c>
      <c r="E55" s="50" t="s">
        <v>343</v>
      </c>
      <c r="F55" s="119">
        <f>((F72-F76)/F76)*100%</f>
        <v>-0.35384069067029583</v>
      </c>
      <c r="G55" s="119">
        <f t="shared" ref="G55:K57" si="51">((G72-G76)/G76)*100%</f>
        <v>-0.35384069893624026</v>
      </c>
      <c r="H55" s="119">
        <f t="shared" si="51"/>
        <v>-0.13653217336973447</v>
      </c>
      <c r="I55" s="119">
        <f t="shared" si="51"/>
        <v>-0.20901904732965546</v>
      </c>
      <c r="J55" s="119">
        <f t="shared" si="51"/>
        <v>-0.57744405436324764</v>
      </c>
      <c r="K55" s="120">
        <f t="shared" si="51"/>
        <v>-0.41248453683339131</v>
      </c>
    </row>
    <row r="56" spans="1:11" s="43" customFormat="1" ht="13.2" x14ac:dyDescent="0.25">
      <c r="A56" s="139">
        <f t="shared" si="44"/>
        <v>-0.86259219253901021</v>
      </c>
      <c r="B56" s="139">
        <f t="shared" si="45"/>
        <v>-0.52579660701124764</v>
      </c>
      <c r="C56" s="160">
        <f t="shared" si="46"/>
        <v>-0.69419439977512898</v>
      </c>
      <c r="D56" s="160">
        <f t="shared" si="47"/>
        <v>-0.69419439977512898</v>
      </c>
      <c r="E56" s="50" t="s">
        <v>344</v>
      </c>
      <c r="F56" s="177"/>
      <c r="G56" s="177"/>
      <c r="H56" s="177"/>
      <c r="I56" s="177"/>
      <c r="J56" s="119">
        <f t="shared" si="51"/>
        <v>-0.86259219253901021</v>
      </c>
      <c r="K56" s="120">
        <f t="shared" si="51"/>
        <v>-0.52579660701124764</v>
      </c>
    </row>
    <row r="57" spans="1:11" s="43" customFormat="1" ht="13.2" x14ac:dyDescent="0.25">
      <c r="A57" s="139">
        <f t="shared" si="44"/>
        <v>-1</v>
      </c>
      <c r="B57" s="139">
        <f t="shared" si="45"/>
        <v>0.40327463345153619</v>
      </c>
      <c r="C57" s="160">
        <f t="shared" si="46"/>
        <v>-0.53224178884948792</v>
      </c>
      <c r="D57" s="160">
        <f t="shared" si="47"/>
        <v>-1</v>
      </c>
      <c r="E57" s="50" t="s">
        <v>346</v>
      </c>
      <c r="F57" s="177"/>
      <c r="G57" s="177"/>
      <c r="H57" s="119">
        <f t="shared" si="51"/>
        <v>-1</v>
      </c>
      <c r="I57" s="119">
        <f t="shared" si="51"/>
        <v>-1</v>
      </c>
      <c r="J57" s="119">
        <f t="shared" si="51"/>
        <v>0.40327463345153619</v>
      </c>
      <c r="K57" s="178"/>
    </row>
    <row r="58" spans="1:11" s="43" customFormat="1" ht="13.2" x14ac:dyDescent="0.25">
      <c r="A58" s="139">
        <f t="shared" si="44"/>
        <v>-0.4134383685063312</v>
      </c>
      <c r="B58" s="139">
        <f t="shared" si="45"/>
        <v>0.1601142560410867</v>
      </c>
      <c r="C58" s="155">
        <f t="shared" si="46"/>
        <v>-4.7939230844170642E-2</v>
      </c>
      <c r="D58" s="156">
        <f t="shared" si="47"/>
        <v>5.6254204026771309E-2</v>
      </c>
      <c r="E58" s="50" t="s">
        <v>356</v>
      </c>
      <c r="F58" s="71">
        <f>F68/(F70+F71+F72+F73+F74+F75)</f>
        <v>7.3466541306754077E-2</v>
      </c>
      <c r="G58" s="71">
        <f t="shared" ref="G58:K58" si="52">G68/(G70+G71+G72+G73+G74)</f>
        <v>6.3566405512588464E-2</v>
      </c>
      <c r="H58" s="71">
        <f t="shared" si="52"/>
        <v>0.1601142560410867</v>
      </c>
      <c r="I58" s="71">
        <f t="shared" si="52"/>
        <v>4.8942002540954162E-2</v>
      </c>
      <c r="J58" s="71">
        <f t="shared" si="52"/>
        <v>-0.22028622196007602</v>
      </c>
      <c r="K58" s="72">
        <f t="shared" si="52"/>
        <v>-0.4134383685063312</v>
      </c>
    </row>
    <row r="59" spans="1:11" s="43" customFormat="1" ht="13.2" x14ac:dyDescent="0.25">
      <c r="A59" s="139">
        <f t="shared" si="44"/>
        <v>-0.41343816598698063</v>
      </c>
      <c r="B59" s="139">
        <f t="shared" si="45"/>
        <v>0.1601142560410867</v>
      </c>
      <c r="C59" s="155">
        <f t="shared" si="46"/>
        <v>-4.7818534308610681E-2</v>
      </c>
      <c r="D59" s="156">
        <f t="shared" si="47"/>
        <v>5.6254204026771309E-2</v>
      </c>
      <c r="E59" s="50" t="s">
        <v>361</v>
      </c>
      <c r="F59" s="71">
        <f>F69/(F70+F71+F72+F73+F74+F75)</f>
        <v>7.3466541306754077E-2</v>
      </c>
      <c r="G59" s="71">
        <f t="shared" ref="G59:K59" si="53">G69/(G70+G71+G72+G73+G74+G75)</f>
        <v>6.3566405512588464E-2</v>
      </c>
      <c r="H59" s="71">
        <f t="shared" si="53"/>
        <v>0.1601142560410867</v>
      </c>
      <c r="I59" s="71">
        <f t="shared" si="53"/>
        <v>4.8942002540954162E-2</v>
      </c>
      <c r="J59" s="71">
        <f t="shared" si="53"/>
        <v>-0.2195622452660668</v>
      </c>
      <c r="K59" s="72">
        <f t="shared" si="53"/>
        <v>-0.41343816598698063</v>
      </c>
    </row>
    <row r="60" spans="1:11" s="43" customFormat="1" ht="26.4" x14ac:dyDescent="0.25">
      <c r="A60" s="139">
        <f t="shared" si="44"/>
        <v>-0.32065424083718874</v>
      </c>
      <c r="B60" s="139">
        <f t="shared" si="45"/>
        <v>0.31614782313960277</v>
      </c>
      <c r="C60" s="160">
        <f t="shared" si="46"/>
        <v>7.1965845611584589E-3</v>
      </c>
      <c r="D60" s="160">
        <f t="shared" si="47"/>
        <v>8.819131595943594E-2</v>
      </c>
      <c r="E60" s="50" t="s">
        <v>372</v>
      </c>
      <c r="F60" s="119">
        <f>F65/F79*100%</f>
        <v>0.10783400878566683</v>
      </c>
      <c r="G60" s="119">
        <f t="shared" ref="G60:K60" si="54">G65/G79*100%</f>
        <v>0.10823897607956061</v>
      </c>
      <c r="H60" s="119">
        <f t="shared" si="54"/>
        <v>0.31614782313960277</v>
      </c>
      <c r="I60" s="119">
        <f t="shared" si="54"/>
        <v>6.8548623133205047E-2</v>
      </c>
      <c r="J60" s="119">
        <f t="shared" si="54"/>
        <v>-0.23693568293389575</v>
      </c>
      <c r="K60" s="120">
        <f t="shared" si="54"/>
        <v>-0.32065424083718874</v>
      </c>
    </row>
    <row r="61" spans="1:11" s="43" customFormat="1" ht="13.2" x14ac:dyDescent="0.25">
      <c r="A61" s="139">
        <f t="shared" si="44"/>
        <v>-0.3147387625373157</v>
      </c>
      <c r="B61" s="139">
        <f t="shared" si="45"/>
        <v>0.30767226777437512</v>
      </c>
      <c r="C61" s="155">
        <f t="shared" si="46"/>
        <v>-1.4951166978163417E-3</v>
      </c>
      <c r="D61" s="156">
        <f t="shared" si="47"/>
        <v>7.7808199112262846E-2</v>
      </c>
      <c r="E61" s="50" t="s">
        <v>373</v>
      </c>
      <c r="F61" s="71">
        <f>F69/F79</f>
        <v>0.10783400878566683</v>
      </c>
      <c r="G61" s="71">
        <f t="shared" ref="G61:K61" si="55">G69/G79</f>
        <v>9.8849477550254777E-2</v>
      </c>
      <c r="H61" s="71">
        <f t="shared" si="55"/>
        <v>0.30767226777437512</v>
      </c>
      <c r="I61" s="71">
        <f t="shared" si="55"/>
        <v>5.6766920674270908E-2</v>
      </c>
      <c r="J61" s="71">
        <f t="shared" si="55"/>
        <v>-0.26535461243415004</v>
      </c>
      <c r="K61" s="72">
        <f t="shared" si="55"/>
        <v>-0.3147387625373157</v>
      </c>
    </row>
    <row r="62" spans="1:11" s="43" customFormat="1" ht="13.2" x14ac:dyDescent="0.25">
      <c r="A62" s="139">
        <f t="shared" si="44"/>
        <v>-43.550784095523575</v>
      </c>
      <c r="B62" s="139">
        <f t="shared" si="45"/>
        <v>1.5464085856350376</v>
      </c>
      <c r="C62" s="155">
        <f t="shared" si="46"/>
        <v>-7.9362474259021276</v>
      </c>
      <c r="D62" s="156">
        <f t="shared" si="47"/>
        <v>-1.4853637404204711</v>
      </c>
      <c r="E62" s="50" t="s">
        <v>374</v>
      </c>
      <c r="F62" s="71">
        <f>F69/F80</f>
        <v>-2.349966763329272</v>
      </c>
      <c r="G62" s="71">
        <f>G66/G80</f>
        <v>-2.2159587592369991</v>
      </c>
      <c r="H62" s="71">
        <f>H66/H80</f>
        <v>-43.550784095523575</v>
      </c>
      <c r="I62" s="71">
        <f>I66/I80</f>
        <v>-0.75476872160394293</v>
      </c>
      <c r="J62" s="71">
        <f>J66/J80</f>
        <v>-0.29241480135401593</v>
      </c>
      <c r="K62" s="72">
        <f>K66/K80</f>
        <v>1.5464085856350376</v>
      </c>
    </row>
    <row r="63" spans="1:11" s="43" customFormat="1" ht="13.8" thickBot="1" x14ac:dyDescent="0.3">
      <c r="A63" s="139">
        <f t="shared" si="44"/>
        <v>-1.0518377231988474</v>
      </c>
      <c r="B63" s="139">
        <f t="shared" si="45"/>
        <v>1.0081197074124841</v>
      </c>
      <c r="C63" s="155">
        <f t="shared" si="46"/>
        <v>7.13887227578891E-2</v>
      </c>
      <c r="D63" s="156">
        <f t="shared" si="47"/>
        <v>0.22766326726822944</v>
      </c>
      <c r="E63" s="51" t="s">
        <v>302</v>
      </c>
      <c r="F63" s="73">
        <f t="shared" ref="F63:K63" si="56">F65/(F80+F81)</f>
        <v>0.51734162568565156</v>
      </c>
      <c r="G63" s="73">
        <f t="shared" si="56"/>
        <v>0.30653992331389535</v>
      </c>
      <c r="H63" s="73">
        <f t="shared" si="56"/>
        <v>1.0081197074124841</v>
      </c>
      <c r="I63" s="73">
        <f t="shared" si="56"/>
        <v>0.14878661122256356</v>
      </c>
      <c r="J63" s="73">
        <f t="shared" si="56"/>
        <v>-0.50061780788841281</v>
      </c>
      <c r="K63" s="74">
        <f t="shared" si="56"/>
        <v>-1.0518377231988474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55007.74</v>
      </c>
      <c r="G65" s="76">
        <f t="shared" ref="G65:K65" si="57">G97</f>
        <v>48043.15</v>
      </c>
      <c r="H65" s="76">
        <f t="shared" si="57"/>
        <v>138791.54999999999</v>
      </c>
      <c r="I65" s="76">
        <f t="shared" si="57"/>
        <v>34756.17</v>
      </c>
      <c r="J65" s="76">
        <f t="shared" si="57"/>
        <v>-131509.76000000001</v>
      </c>
      <c r="K65" s="76">
        <f t="shared" si="57"/>
        <v>-206372.97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188079.46</v>
      </c>
      <c r="G66" s="76">
        <f t="shared" ref="G66:K66" si="58">G95</f>
        <v>173765.78</v>
      </c>
      <c r="H66" s="76">
        <f t="shared" si="58"/>
        <v>280990.53000000003</v>
      </c>
      <c r="I66" s="76">
        <f t="shared" si="58"/>
        <v>106816.93</v>
      </c>
      <c r="J66" s="76">
        <f t="shared" si="58"/>
        <v>49799.77</v>
      </c>
      <c r="K66" s="76">
        <f t="shared" si="58"/>
        <v>-35600.97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-120847.71</v>
      </c>
      <c r="G67" s="76">
        <f t="shared" ref="G67:K67" si="59">G92</f>
        <v>-115093.06</v>
      </c>
      <c r="H67" s="76">
        <f t="shared" si="59"/>
        <v>-101465.45</v>
      </c>
      <c r="I67" s="76">
        <f t="shared" si="59"/>
        <v>-50951.61</v>
      </c>
      <c r="J67" s="76">
        <f t="shared" si="59"/>
        <v>-142488.20000000001</v>
      </c>
      <c r="K67" s="76">
        <f t="shared" si="59"/>
        <v>-143419.01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55007.74</v>
      </c>
      <c r="G68" s="76">
        <f t="shared" ref="G68:K68" si="60">G102</f>
        <v>43875.51</v>
      </c>
      <c r="H68" s="76">
        <f t="shared" si="60"/>
        <v>135070.71</v>
      </c>
      <c r="I68" s="76">
        <f t="shared" si="60"/>
        <v>28782.5</v>
      </c>
      <c r="J68" s="76">
        <f t="shared" si="60"/>
        <v>-147283.51999999999</v>
      </c>
      <c r="K68" s="76">
        <f t="shared" si="60"/>
        <v>-202565.77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55007.74</v>
      </c>
      <c r="G69" s="76">
        <f t="shared" ref="G69:K69" si="61">G104</f>
        <v>43875.51</v>
      </c>
      <c r="H69" s="76">
        <f t="shared" si="61"/>
        <v>135070.71</v>
      </c>
      <c r="I69" s="76">
        <f t="shared" si="61"/>
        <v>28782.5</v>
      </c>
      <c r="J69" s="76">
        <f t="shared" si="61"/>
        <v>-147283.51999999999</v>
      </c>
      <c r="K69" s="76">
        <f t="shared" si="61"/>
        <v>-202565.77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528061.77</v>
      </c>
      <c r="G70" s="76">
        <f t="shared" ref="G70:K70" si="62">G93</f>
        <v>480056.15</v>
      </c>
      <c r="H70" s="76">
        <f t="shared" si="62"/>
        <v>688863.15</v>
      </c>
      <c r="I70" s="76">
        <f t="shared" si="62"/>
        <v>392730</v>
      </c>
      <c r="J70" s="76">
        <f t="shared" si="62"/>
        <v>362737.06</v>
      </c>
      <c r="K70" s="76">
        <f t="shared" si="62"/>
        <v>266280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0</v>
      </c>
      <c r="G71" s="76">
        <f t="shared" ref="G71:K71" si="63">G98</f>
        <v>0</v>
      </c>
      <c r="H71" s="76">
        <f t="shared" si="63"/>
        <v>0</v>
      </c>
      <c r="I71" s="76">
        <f t="shared" si="63"/>
        <v>4296.88</v>
      </c>
      <c r="J71" s="76">
        <f t="shared" si="63"/>
        <v>10630</v>
      </c>
      <c r="K71" s="76">
        <f t="shared" si="63"/>
        <v>23024.15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220683.7</v>
      </c>
      <c r="G72" s="76">
        <f t="shared" ref="G72:K74" si="64">G85</f>
        <v>210174.95</v>
      </c>
      <c r="H72" s="76">
        <f t="shared" si="64"/>
        <v>154726.38</v>
      </c>
      <c r="I72" s="76">
        <f t="shared" si="64"/>
        <v>191067.16</v>
      </c>
      <c r="J72" s="76">
        <f t="shared" si="64"/>
        <v>135334.19</v>
      </c>
      <c r="K72" s="76">
        <f t="shared" si="64"/>
        <v>194389.42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533.02</v>
      </c>
      <c r="K73" s="76">
        <f t="shared" si="64"/>
        <v>6260.4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159366.42000000001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2204.62</v>
      </c>
      <c r="K75" s="76">
        <f t="shared" si="65"/>
        <v>0.24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341531.41</v>
      </c>
      <c r="G76" s="76">
        <f t="shared" ref="G76:K78" si="66">G89</f>
        <v>325268.01</v>
      </c>
      <c r="H76" s="76">
        <f t="shared" si="66"/>
        <v>179191.83</v>
      </c>
      <c r="I76" s="76">
        <f t="shared" si="66"/>
        <v>241557.22</v>
      </c>
      <c r="J76" s="76">
        <f t="shared" si="66"/>
        <v>320275.20000000001</v>
      </c>
      <c r="K76" s="76">
        <f t="shared" si="66"/>
        <v>330866.90000000002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3879.11</v>
      </c>
      <c r="K77" s="76">
        <f t="shared" si="66"/>
        <v>13201.93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77000</v>
      </c>
      <c r="I78" s="76">
        <f t="shared" si="66"/>
        <v>461.55</v>
      </c>
      <c r="J78" s="76">
        <f t="shared" si="66"/>
        <v>113567.52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510114.95</v>
      </c>
      <c r="G79" s="76">
        <f t="shared" ref="G79:K79" si="67">G120</f>
        <v>443861.83</v>
      </c>
      <c r="H79" s="76">
        <f t="shared" si="67"/>
        <v>439008.4</v>
      </c>
      <c r="I79" s="76">
        <f t="shared" si="67"/>
        <v>507029.44</v>
      </c>
      <c r="J79" s="76">
        <f t="shared" si="67"/>
        <v>555044.13</v>
      </c>
      <c r="K79" s="76">
        <f t="shared" si="67"/>
        <v>643599.68999999994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-23407.88</v>
      </c>
      <c r="G80" s="76">
        <f t="shared" ref="G80:K80" si="68">G122</f>
        <v>-78415.62</v>
      </c>
      <c r="H80" s="76">
        <f t="shared" si="68"/>
        <v>-6452.02</v>
      </c>
      <c r="I80" s="76">
        <f t="shared" si="68"/>
        <v>-141522.73000000001</v>
      </c>
      <c r="J80" s="76">
        <f t="shared" si="68"/>
        <v>-170305.23</v>
      </c>
      <c r="K80" s="76">
        <f t="shared" si="68"/>
        <v>-23021.71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129735.57</v>
      </c>
      <c r="G81" s="76">
        <f t="shared" ref="G81:K81" si="69">G129</f>
        <v>235142.84</v>
      </c>
      <c r="H81" s="76">
        <f t="shared" si="69"/>
        <v>144125.70000000001</v>
      </c>
      <c r="I81" s="76">
        <f t="shared" si="69"/>
        <v>375120.16</v>
      </c>
      <c r="J81" s="76">
        <f t="shared" si="69"/>
        <v>433000.16</v>
      </c>
      <c r="K81" s="76">
        <f t="shared" si="69"/>
        <v>219224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220683.7</v>
      </c>
      <c r="G84" s="90">
        <v>210174.95</v>
      </c>
      <c r="H84" s="90">
        <v>154726.38</v>
      </c>
      <c r="I84" s="90">
        <v>191067.16</v>
      </c>
      <c r="J84" s="90">
        <v>295233.63</v>
      </c>
      <c r="K84" s="90">
        <v>200649.82</v>
      </c>
    </row>
    <row r="85" spans="3:11" x14ac:dyDescent="0.3">
      <c r="E85" s="11" t="s">
        <v>3</v>
      </c>
      <c r="F85" s="90">
        <v>220683.7</v>
      </c>
      <c r="G85" s="90">
        <v>210174.95</v>
      </c>
      <c r="H85" s="90">
        <v>154726.38</v>
      </c>
      <c r="I85" s="90">
        <v>191067.16</v>
      </c>
      <c r="J85" s="90">
        <v>135334.19</v>
      </c>
      <c r="K85" s="90">
        <v>194389.42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533.02</v>
      </c>
      <c r="K86" s="90">
        <v>6260.4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159366.42000000001</v>
      </c>
      <c r="K87" s="107">
        <v>0</v>
      </c>
    </row>
    <row r="88" spans="3:11" x14ac:dyDescent="0.3">
      <c r="E88" s="11" t="s">
        <v>6</v>
      </c>
      <c r="F88" s="90">
        <v>341531.41</v>
      </c>
      <c r="G88" s="90">
        <v>325268.01</v>
      </c>
      <c r="H88" s="90">
        <v>256191.83</v>
      </c>
      <c r="I88" s="90">
        <v>242018.77</v>
      </c>
      <c r="J88" s="90">
        <v>437721.83</v>
      </c>
      <c r="K88" s="90">
        <v>344068.83</v>
      </c>
    </row>
    <row r="89" spans="3:11" x14ac:dyDescent="0.3">
      <c r="E89" s="11" t="s">
        <v>7</v>
      </c>
      <c r="F89" s="90">
        <v>341531.41</v>
      </c>
      <c r="G89" s="90">
        <v>325268.01</v>
      </c>
      <c r="H89" s="90">
        <v>179191.83</v>
      </c>
      <c r="I89" s="90">
        <v>241557.22</v>
      </c>
      <c r="J89" s="90">
        <v>320275.20000000001</v>
      </c>
      <c r="K89" s="90">
        <v>330866.90000000002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90">
        <v>3879.11</v>
      </c>
      <c r="K90" s="90">
        <v>13201.93</v>
      </c>
    </row>
    <row r="91" spans="3:11" x14ac:dyDescent="0.3">
      <c r="E91" s="11" t="s">
        <v>9</v>
      </c>
      <c r="F91" s="107">
        <v>0</v>
      </c>
      <c r="G91" s="107">
        <v>0</v>
      </c>
      <c r="H91" s="90">
        <v>77000</v>
      </c>
      <c r="I91" s="107">
        <v>461.55</v>
      </c>
      <c r="J91" s="90">
        <v>113567.52</v>
      </c>
      <c r="K91" s="107">
        <v>0</v>
      </c>
    </row>
    <row r="92" spans="3:11" x14ac:dyDescent="0.3">
      <c r="E92" s="11" t="s">
        <v>10</v>
      </c>
      <c r="F92" s="90">
        <v>-120847.71</v>
      </c>
      <c r="G92" s="90">
        <v>-115093.06</v>
      </c>
      <c r="H92" s="90">
        <v>-101465.45</v>
      </c>
      <c r="I92" s="90">
        <v>-50951.61</v>
      </c>
      <c r="J92" s="90">
        <v>-142488.20000000001</v>
      </c>
      <c r="K92" s="90">
        <v>-143419.01</v>
      </c>
    </row>
    <row r="93" spans="3:11" x14ac:dyDescent="0.3">
      <c r="E93" s="11" t="s">
        <v>11</v>
      </c>
      <c r="F93" s="90">
        <v>528061.77</v>
      </c>
      <c r="G93" s="90">
        <v>480056.15</v>
      </c>
      <c r="H93" s="90">
        <v>688863.15</v>
      </c>
      <c r="I93" s="90">
        <v>392730</v>
      </c>
      <c r="J93" s="90">
        <v>362737.06</v>
      </c>
      <c r="K93" s="90">
        <v>266280</v>
      </c>
    </row>
    <row r="94" spans="3:11" x14ac:dyDescent="0.3">
      <c r="E94" s="11" t="s">
        <v>12</v>
      </c>
      <c r="F94" s="90">
        <v>339982.31</v>
      </c>
      <c r="G94" s="90">
        <v>306290.37</v>
      </c>
      <c r="H94" s="90">
        <v>407872.62</v>
      </c>
      <c r="I94" s="90">
        <v>285913.07</v>
      </c>
      <c r="J94" s="90">
        <v>312937.28999999998</v>
      </c>
      <c r="K94" s="90">
        <v>301880.96999999997</v>
      </c>
    </row>
    <row r="95" spans="3:11" x14ac:dyDescent="0.3">
      <c r="E95" s="11" t="s">
        <v>13</v>
      </c>
      <c r="F95" s="90">
        <v>188079.46</v>
      </c>
      <c r="G95" s="90">
        <v>173765.78</v>
      </c>
      <c r="H95" s="90">
        <v>280990.53000000003</v>
      </c>
      <c r="I95" s="90">
        <v>106816.93</v>
      </c>
      <c r="J95" s="90">
        <v>49799.77</v>
      </c>
      <c r="K95" s="90">
        <v>-35600.97</v>
      </c>
    </row>
    <row r="96" spans="3:11" x14ac:dyDescent="0.3">
      <c r="E96" s="11" t="s">
        <v>14</v>
      </c>
      <c r="F96" s="90">
        <v>12224.01</v>
      </c>
      <c r="G96" s="90">
        <v>10629.57</v>
      </c>
      <c r="H96" s="90">
        <v>40733.53</v>
      </c>
      <c r="I96" s="90">
        <v>21109.15</v>
      </c>
      <c r="J96" s="90">
        <v>38821.33</v>
      </c>
      <c r="K96" s="90">
        <v>27352.99</v>
      </c>
    </row>
    <row r="97" spans="5:11" x14ac:dyDescent="0.3">
      <c r="E97" s="11" t="s">
        <v>15</v>
      </c>
      <c r="F97" s="90">
        <v>55007.74</v>
      </c>
      <c r="G97" s="90">
        <v>48043.15</v>
      </c>
      <c r="H97" s="90">
        <v>138791.54999999999</v>
      </c>
      <c r="I97" s="90">
        <v>34756.17</v>
      </c>
      <c r="J97" s="90">
        <v>-131509.76000000001</v>
      </c>
      <c r="K97" s="90">
        <v>-206372.97</v>
      </c>
    </row>
    <row r="98" spans="5:11" x14ac:dyDescent="0.3">
      <c r="E98" s="11" t="s">
        <v>16</v>
      </c>
      <c r="F98" s="107">
        <v>0</v>
      </c>
      <c r="G98" s="107">
        <v>0</v>
      </c>
      <c r="H98" s="107">
        <v>0</v>
      </c>
      <c r="I98" s="90">
        <v>4296.88</v>
      </c>
      <c r="J98" s="90">
        <v>10630</v>
      </c>
      <c r="K98" s="90">
        <v>23024.15</v>
      </c>
    </row>
    <row r="99" spans="5:11" x14ac:dyDescent="0.3">
      <c r="E99" s="11" t="s">
        <v>17</v>
      </c>
      <c r="F99" s="107">
        <v>0</v>
      </c>
      <c r="G99" s="107">
        <v>0</v>
      </c>
      <c r="H99" s="90">
        <v>2236.11</v>
      </c>
      <c r="I99" s="90">
        <v>1225.25</v>
      </c>
      <c r="J99" s="90">
        <v>9402.16</v>
      </c>
      <c r="K99" s="107">
        <v>0</v>
      </c>
    </row>
    <row r="100" spans="5:11" x14ac:dyDescent="0.3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90">
        <v>2204.62</v>
      </c>
      <c r="K100" s="107">
        <v>0.24</v>
      </c>
    </row>
    <row r="101" spans="5:11" x14ac:dyDescent="0.3">
      <c r="E101" s="11" t="s">
        <v>19</v>
      </c>
      <c r="F101" s="107">
        <v>0</v>
      </c>
      <c r="G101" s="90">
        <v>4167.6400000000003</v>
      </c>
      <c r="H101" s="90">
        <v>1484.73</v>
      </c>
      <c r="I101" s="90">
        <v>9045.2999999999993</v>
      </c>
      <c r="J101" s="90">
        <v>19206.22</v>
      </c>
      <c r="K101" s="90">
        <v>19217.189999999999</v>
      </c>
    </row>
    <row r="102" spans="5:11" x14ac:dyDescent="0.3">
      <c r="E102" s="11" t="s">
        <v>20</v>
      </c>
      <c r="F102" s="90">
        <v>55007.74</v>
      </c>
      <c r="G102" s="90">
        <v>43875.51</v>
      </c>
      <c r="H102" s="90">
        <v>135070.71</v>
      </c>
      <c r="I102" s="90">
        <v>28782.5</v>
      </c>
      <c r="J102" s="90">
        <v>-147283.51999999999</v>
      </c>
      <c r="K102" s="90">
        <v>-202565.77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55007.74</v>
      </c>
      <c r="G104" s="90">
        <v>43875.51</v>
      </c>
      <c r="H104" s="90">
        <v>135070.71</v>
      </c>
      <c r="I104" s="90">
        <v>28782.5</v>
      </c>
      <c r="J104" s="90">
        <v>-147283.51999999999</v>
      </c>
      <c r="K104" s="90">
        <v>-202565.77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397966.85</v>
      </c>
      <c r="G108" s="90">
        <v>397966.85</v>
      </c>
      <c r="H108" s="90">
        <v>366721.82</v>
      </c>
      <c r="I108" s="90">
        <v>477721.82</v>
      </c>
      <c r="J108" s="90">
        <v>528821.06000000006</v>
      </c>
      <c r="K108" s="90">
        <v>584171.71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397966.85</v>
      </c>
      <c r="G110" s="90">
        <v>397966.85</v>
      </c>
      <c r="H110" s="90">
        <v>366721.82</v>
      </c>
      <c r="I110" s="90">
        <v>477721.82</v>
      </c>
      <c r="J110" s="90">
        <v>528821.06000000006</v>
      </c>
      <c r="K110" s="90">
        <v>584171.71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112148.1</v>
      </c>
      <c r="G114" s="90">
        <v>45894.98</v>
      </c>
      <c r="H114" s="90">
        <v>72286.58</v>
      </c>
      <c r="I114" s="90">
        <v>29307.62</v>
      </c>
      <c r="J114" s="90">
        <v>26223.07</v>
      </c>
      <c r="K114" s="90">
        <v>59427.98</v>
      </c>
    </row>
    <row r="115" spans="5:11" x14ac:dyDescent="0.3">
      <c r="E115" s="8" t="s">
        <v>34</v>
      </c>
      <c r="F115" s="90">
        <v>30888.99</v>
      </c>
      <c r="G115" s="90">
        <v>29418.09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81259.11</v>
      </c>
      <c r="G116" s="90">
        <v>15704.14</v>
      </c>
      <c r="H116" s="90">
        <v>47808.85</v>
      </c>
      <c r="I116" s="90">
        <v>21987.78</v>
      </c>
      <c r="J116" s="90">
        <v>3662.6</v>
      </c>
      <c r="K116" s="90">
        <v>4011.02</v>
      </c>
    </row>
    <row r="117" spans="5:11" ht="15" customHeight="1" x14ac:dyDescent="0.3">
      <c r="E117" s="8" t="s">
        <v>36</v>
      </c>
      <c r="F117" s="107">
        <v>0</v>
      </c>
      <c r="G117" s="107">
        <v>772.75</v>
      </c>
      <c r="H117" s="90">
        <v>23704.98</v>
      </c>
      <c r="I117" s="90">
        <v>6547.09</v>
      </c>
      <c r="J117" s="90">
        <v>21787.72</v>
      </c>
      <c r="K117" s="90">
        <v>54644.21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772.75</v>
      </c>
      <c r="I118" s="107">
        <v>772.75</v>
      </c>
      <c r="J118" s="107">
        <v>772.75</v>
      </c>
      <c r="K118" s="107">
        <v>772.75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510114.95</v>
      </c>
      <c r="G120" s="90">
        <v>443861.83</v>
      </c>
      <c r="H120" s="90">
        <v>439008.4</v>
      </c>
      <c r="I120" s="90">
        <v>507029.44</v>
      </c>
      <c r="J120" s="90">
        <v>555044.13</v>
      </c>
      <c r="K120" s="90">
        <v>643599.68999999994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-23407.88</v>
      </c>
      <c r="G122" s="90">
        <v>-78415.62</v>
      </c>
      <c r="H122" s="90">
        <v>-6452.02</v>
      </c>
      <c r="I122" s="90">
        <v>-141522.73000000001</v>
      </c>
      <c r="J122" s="90">
        <v>-170305.23</v>
      </c>
      <c r="K122" s="90">
        <v>-23021.71</v>
      </c>
    </row>
    <row r="123" spans="5:11" x14ac:dyDescent="0.3">
      <c r="E123" s="8" t="s">
        <v>42</v>
      </c>
      <c r="F123" s="107">
        <v>500</v>
      </c>
      <c r="G123" s="107">
        <v>500</v>
      </c>
      <c r="H123" s="107">
        <v>500</v>
      </c>
      <c r="I123" s="107">
        <v>500</v>
      </c>
      <c r="J123" s="107">
        <v>500</v>
      </c>
      <c r="K123" s="107">
        <v>500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90">
        <v>-78915.62</v>
      </c>
      <c r="G125" s="90">
        <v>-122791.13</v>
      </c>
      <c r="H125" s="90">
        <v>-142022.73000000001</v>
      </c>
      <c r="I125" s="90">
        <v>-170805.23</v>
      </c>
      <c r="J125" s="90">
        <v>-23521.71</v>
      </c>
      <c r="K125" s="90">
        <v>179044.06</v>
      </c>
    </row>
    <row r="126" spans="5:11" x14ac:dyDescent="0.3">
      <c r="E126" s="8" t="s">
        <v>45</v>
      </c>
      <c r="F126" s="90">
        <v>55007.74</v>
      </c>
      <c r="G126" s="90">
        <v>43875.51</v>
      </c>
      <c r="H126" s="90">
        <v>135070.71</v>
      </c>
      <c r="I126" s="90">
        <v>28782.5</v>
      </c>
      <c r="J126" s="90">
        <v>-147283.51999999999</v>
      </c>
      <c r="K126" s="90">
        <v>-202565.77</v>
      </c>
    </row>
    <row r="127" spans="5:11" ht="15" customHeight="1" x14ac:dyDescent="0.3">
      <c r="E127" s="18" t="s">
        <v>91</v>
      </c>
      <c r="F127" s="90">
        <v>533522.82999999996</v>
      </c>
      <c r="G127" s="90">
        <v>522277.45</v>
      </c>
      <c r="H127" s="90">
        <v>445460.42</v>
      </c>
      <c r="I127" s="90">
        <v>648552.17000000004</v>
      </c>
      <c r="J127" s="90">
        <v>725349.36</v>
      </c>
      <c r="K127" s="90">
        <v>666621.4</v>
      </c>
    </row>
    <row r="128" spans="5:11" ht="15" customHeight="1" x14ac:dyDescent="0.3">
      <c r="E128" s="8" t="s">
        <v>46</v>
      </c>
      <c r="F128" s="107">
        <v>0</v>
      </c>
      <c r="G128" s="90">
        <v>162169.46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129735.57</v>
      </c>
      <c r="G129" s="90">
        <v>235142.84</v>
      </c>
      <c r="H129" s="90">
        <v>144125.70000000001</v>
      </c>
      <c r="I129" s="90">
        <v>375120.16</v>
      </c>
      <c r="J129" s="90">
        <v>433000.16</v>
      </c>
      <c r="K129" s="90">
        <v>219224</v>
      </c>
    </row>
    <row r="130" spans="5:11" ht="15" customHeight="1" x14ac:dyDescent="0.3">
      <c r="E130" s="17" t="s">
        <v>90</v>
      </c>
      <c r="F130" s="90">
        <v>282171.40000000002</v>
      </c>
      <c r="G130" s="90">
        <v>124965.15</v>
      </c>
      <c r="H130" s="90">
        <v>146369.57</v>
      </c>
      <c r="I130" s="90">
        <v>148466.85999999999</v>
      </c>
      <c r="J130" s="90">
        <v>167384.04999999999</v>
      </c>
      <c r="K130" s="90">
        <v>268864.73</v>
      </c>
    </row>
    <row r="131" spans="5:11" ht="15" customHeight="1" x14ac:dyDescent="0.3">
      <c r="E131" s="17" t="s">
        <v>88</v>
      </c>
      <c r="F131" s="90">
        <v>121615.86</v>
      </c>
      <c r="G131" s="107">
        <v>0</v>
      </c>
      <c r="H131" s="90">
        <v>154965.15</v>
      </c>
      <c r="I131" s="90">
        <v>124965.15</v>
      </c>
      <c r="J131" s="90">
        <v>124965.15</v>
      </c>
      <c r="K131" s="90">
        <v>178532.67</v>
      </c>
    </row>
    <row r="132" spans="5:11" x14ac:dyDescent="0.3">
      <c r="E132" s="7" t="s">
        <v>47</v>
      </c>
      <c r="F132" s="90">
        <v>510114.95</v>
      </c>
      <c r="G132" s="90">
        <v>443861.83</v>
      </c>
      <c r="H132" s="90">
        <v>439008.4</v>
      </c>
      <c r="I132" s="90">
        <v>507029.44</v>
      </c>
      <c r="J132" s="90">
        <v>555044.13</v>
      </c>
      <c r="K132" s="90">
        <v>643599.68999999994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DC82A-DD37-4774-AC4F-80E87F740647}">
  <sheetPr>
    <tabColor theme="5" tint="0.79998168889431442"/>
  </sheetPr>
  <dimension ref="A1:L177"/>
  <sheetViews>
    <sheetView topLeftCell="A154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418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0.28474975896437138</v>
      </c>
      <c r="B4" s="139">
        <f>MAX(F4:K4)</f>
        <v>0.80272911520639267</v>
      </c>
      <c r="C4" s="155">
        <f>AVERAGE(F4:K4)</f>
        <v>0.50485384749807116</v>
      </c>
      <c r="D4" s="156">
        <f>MEDIAN(F4:K4)</f>
        <v>0.46372054558608561</v>
      </c>
      <c r="E4" s="47" t="s">
        <v>364</v>
      </c>
      <c r="F4" s="71">
        <f>SUM(F9:F12)/SUM(F13:F15)</f>
        <v>0.58011266731216482</v>
      </c>
      <c r="G4" s="71">
        <f t="shared" ref="G4:K4" si="0">SUM(G9:G12)/SUM(G13:G15)</f>
        <v>0.80272911520639267</v>
      </c>
      <c r="H4" s="71">
        <f t="shared" si="0"/>
        <v>0.28474975896437138</v>
      </c>
      <c r="I4" s="71">
        <f t="shared" si="0"/>
        <v>0.44439470461586578</v>
      </c>
      <c r="J4" s="71">
        <f t="shared" si="0"/>
        <v>0.43409045233332705</v>
      </c>
      <c r="K4" s="71">
        <f t="shared" si="0"/>
        <v>0.48304638655630544</v>
      </c>
    </row>
    <row r="5" spans="1:11" s="43" customFormat="1" ht="13.2" x14ac:dyDescent="0.25">
      <c r="A5" s="139">
        <f t="shared" ref="A5:A7" si="1">MIN(F5:K5)</f>
        <v>1.4090612369308797</v>
      </c>
      <c r="B5" s="139">
        <f t="shared" ref="B5:B7" si="2">MAX(F5:K5)</f>
        <v>13.809474542151206</v>
      </c>
      <c r="C5" s="155">
        <f t="shared" ref="C5:C7" si="3">AVERAGEIF(F5:K5,"&gt;0")</f>
        <v>4.5873255250942488</v>
      </c>
      <c r="D5" s="156">
        <f t="shared" ref="D5:D7" si="4">_xlfn.AGGREGATE(12,6,F5:K5)</f>
        <v>2.977179272161778</v>
      </c>
      <c r="E5" s="47" t="s">
        <v>363</v>
      </c>
      <c r="F5" s="71">
        <f t="shared" ref="F5:K5" si="5">SUM(F9:F12)/F14</f>
        <v>3.8550107268420528</v>
      </c>
      <c r="G5" s="71">
        <f t="shared" si="5"/>
        <v>13.809474542151206</v>
      </c>
      <c r="H5" s="71">
        <f t="shared" si="5"/>
        <v>1.7995510285394491</v>
      </c>
      <c r="I5" s="71">
        <f t="shared" si="5"/>
        <v>4.5515077986204036</v>
      </c>
      <c r="J5" s="71">
        <f t="shared" si="5"/>
        <v>1.4090612369308797</v>
      </c>
      <c r="K5" s="71">
        <f t="shared" si="5"/>
        <v>2.0993478174815032</v>
      </c>
    </row>
    <row r="6" spans="1:11" s="43" customFormat="1" ht="13.2" x14ac:dyDescent="0.25">
      <c r="A6" s="139">
        <f t="shared" si="1"/>
        <v>1.4015290641588933</v>
      </c>
      <c r="B6" s="139">
        <f t="shared" si="2"/>
        <v>12.795134428452217</v>
      </c>
      <c r="C6" s="155">
        <f t="shared" si="3"/>
        <v>4.4087264219732489</v>
      </c>
      <c r="D6" s="156">
        <f t="shared" si="4"/>
        <v>2.9628744685036188</v>
      </c>
      <c r="E6" s="47" t="s">
        <v>365</v>
      </c>
      <c r="F6" s="71">
        <f t="shared" ref="F6:K6" si="6">SUM(F10:F11)/F14</f>
        <v>3.8472859888606035</v>
      </c>
      <c r="G6" s="71">
        <f t="shared" si="6"/>
        <v>12.795134428452217</v>
      </c>
      <c r="H6" s="71">
        <f t="shared" si="6"/>
        <v>1.7869725046662162</v>
      </c>
      <c r="I6" s="71">
        <f t="shared" si="6"/>
        <v>4.5429735975549308</v>
      </c>
      <c r="J6" s="71">
        <f t="shared" si="6"/>
        <v>1.4015290641588933</v>
      </c>
      <c r="K6" s="71">
        <f t="shared" si="6"/>
        <v>2.0784629481466341</v>
      </c>
    </row>
    <row r="7" spans="1:11" s="43" customFormat="1" ht="13.8" thickBot="1" x14ac:dyDescent="0.3">
      <c r="A7" s="139">
        <f t="shared" si="1"/>
        <v>1.195008457569732</v>
      </c>
      <c r="B7" s="139">
        <f t="shared" si="2"/>
        <v>11.009649724501067</v>
      </c>
      <c r="C7" s="155">
        <f t="shared" si="3"/>
        <v>3.7303512453055085</v>
      </c>
      <c r="D7" s="156">
        <f t="shared" si="4"/>
        <v>2.3452749655148608</v>
      </c>
      <c r="E7" s="49" t="s">
        <v>366</v>
      </c>
      <c r="F7" s="73">
        <f t="shared" ref="F7:K7" si="7">F11/F14</f>
        <v>3.1310776694160478</v>
      </c>
      <c r="G7" s="73">
        <f t="shared" si="7"/>
        <v>11.009649724501067</v>
      </c>
      <c r="H7" s="73">
        <f t="shared" si="7"/>
        <v>1.5209594819535843</v>
      </c>
      <c r="I7" s="73">
        <f t="shared" si="7"/>
        <v>3.9659398767789482</v>
      </c>
      <c r="J7" s="73">
        <f t="shared" si="7"/>
        <v>1.195008457569732</v>
      </c>
      <c r="K7" s="73">
        <f t="shared" si="7"/>
        <v>1.5594722616136736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3666.19</v>
      </c>
      <c r="G9" s="76">
        <f t="shared" ref="G9:K12" si="8">G115</f>
        <v>28486.38</v>
      </c>
      <c r="H9" s="76">
        <f t="shared" si="8"/>
        <v>7348.23</v>
      </c>
      <c r="I9" s="76">
        <f t="shared" si="8"/>
        <v>3552.53</v>
      </c>
      <c r="J9" s="76">
        <f t="shared" si="8"/>
        <v>4795.51</v>
      </c>
      <c r="K9" s="76">
        <f t="shared" si="8"/>
        <v>4501.0600000000004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339915.19</v>
      </c>
      <c r="G10" s="76">
        <f t="shared" si="8"/>
        <v>624513.77</v>
      </c>
      <c r="H10" s="76">
        <f t="shared" si="8"/>
        <v>155401.76999999999</v>
      </c>
      <c r="I10" s="76">
        <f t="shared" si="8"/>
        <v>240201.7</v>
      </c>
      <c r="J10" s="76">
        <f t="shared" si="8"/>
        <v>227642.07</v>
      </c>
      <c r="K10" s="76">
        <f t="shared" si="8"/>
        <v>206232.31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1486021.36</v>
      </c>
      <c r="G11" s="76">
        <f t="shared" si="8"/>
        <v>3850874.69</v>
      </c>
      <c r="H11" s="76">
        <f t="shared" si="8"/>
        <v>888527.16</v>
      </c>
      <c r="I11" s="76">
        <f t="shared" si="8"/>
        <v>1650900.92</v>
      </c>
      <c r="J11" s="76">
        <f t="shared" si="8"/>
        <v>1317225.45</v>
      </c>
      <c r="K11" s="76">
        <f t="shared" si="8"/>
        <v>619690.43999999994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326302.08000000002</v>
      </c>
      <c r="H12" s="76">
        <f t="shared" si="8"/>
        <v>0</v>
      </c>
      <c r="I12" s="76">
        <f t="shared" si="8"/>
        <v>0</v>
      </c>
      <c r="J12" s="76">
        <f t="shared" si="8"/>
        <v>3507</v>
      </c>
      <c r="K12" s="76">
        <f t="shared" si="8"/>
        <v>3798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147946.43</v>
      </c>
      <c r="J13" s="76">
        <f t="shared" si="9"/>
        <v>0</v>
      </c>
      <c r="K13" s="76">
        <f t="shared" si="9"/>
        <v>26738.67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474603.8</v>
      </c>
      <c r="G14" s="76">
        <f t="shared" ref="G14:K15" si="10">G130</f>
        <v>349772.68</v>
      </c>
      <c r="H14" s="76">
        <f t="shared" si="10"/>
        <v>584188.57999999996</v>
      </c>
      <c r="I14" s="76">
        <f t="shared" si="10"/>
        <v>416269.78</v>
      </c>
      <c r="J14" s="76">
        <f t="shared" si="10"/>
        <v>1102272.9099999999</v>
      </c>
      <c r="K14" s="76">
        <f t="shared" si="10"/>
        <v>397371.89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2679271.0299999998</v>
      </c>
      <c r="G15" s="76">
        <f t="shared" si="10"/>
        <v>5667421.4500000002</v>
      </c>
      <c r="H15" s="76">
        <f t="shared" si="10"/>
        <v>3107744.87</v>
      </c>
      <c r="I15" s="76">
        <f t="shared" si="10"/>
        <v>3699235.02</v>
      </c>
      <c r="J15" s="76">
        <f t="shared" si="10"/>
        <v>2475714.17</v>
      </c>
      <c r="K15" s="76">
        <f t="shared" si="10"/>
        <v>1302890.8899999999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64.810978416616607</v>
      </c>
      <c r="B19" s="152">
        <f t="shared" ref="B19:B25" si="12">MAX(F19:K19)</f>
        <v>148.96918667253368</v>
      </c>
      <c r="C19" s="156">
        <f>AVERAGE(F19:K19)</f>
        <v>106.49118745643658</v>
      </c>
      <c r="D19" s="156">
        <f>MEDIAN(F19:K19)</f>
        <v>104.91002763934321</v>
      </c>
      <c r="E19" s="47" t="s">
        <v>293</v>
      </c>
      <c r="F19" s="71">
        <f>F28/(F27/365)</f>
        <v>128.49874030493513</v>
      </c>
      <c r="G19" s="71">
        <f t="shared" ref="G19:K19" si="13">G28/(G27/365)</f>
        <v>115.19668003658377</v>
      </c>
      <c r="H19" s="71">
        <f t="shared" si="13"/>
        <v>64.810978416616607</v>
      </c>
      <c r="I19" s="71">
        <f t="shared" si="13"/>
        <v>148.96918667253368</v>
      </c>
      <c r="J19" s="71">
        <f t="shared" si="13"/>
        <v>86.848164065847612</v>
      </c>
      <c r="K19" s="71">
        <f t="shared" si="13"/>
        <v>94.62337524210264</v>
      </c>
    </row>
    <row r="20" spans="1:11" s="43" customFormat="1" ht="13.2" x14ac:dyDescent="0.25">
      <c r="A20" s="152">
        <f t="shared" si="11"/>
        <v>1.3859362881622035</v>
      </c>
      <c r="B20" s="152">
        <f t="shared" si="12"/>
        <v>5.2545461123467936</v>
      </c>
      <c r="C20" s="156">
        <f t="shared" ref="C20:C25" si="14">AVERAGE(F20:K20)</f>
        <v>2.6338387356772084</v>
      </c>
      <c r="D20" s="156">
        <f t="shared" ref="D20:D25" si="15">MEDIAN(F20:K20)</f>
        <v>2.1341973769232299</v>
      </c>
      <c r="E20" s="121" t="s">
        <v>367</v>
      </c>
      <c r="F20" s="71">
        <f>F29/(F27/365)</f>
        <v>1.3859362881622035</v>
      </c>
      <c r="G20" s="71">
        <f t="shared" ref="G20:K20" si="16">G29/(G27/365)</f>
        <v>5.2545461123467936</v>
      </c>
      <c r="H20" s="71">
        <f t="shared" si="16"/>
        <v>3.0646110139564993</v>
      </c>
      <c r="I20" s="71">
        <f t="shared" si="16"/>
        <v>2.203221312462718</v>
      </c>
      <c r="J20" s="71">
        <f t="shared" si="16"/>
        <v>1.8295442457512925</v>
      </c>
      <c r="K20" s="71">
        <f t="shared" si="16"/>
        <v>2.0651734413837413</v>
      </c>
    </row>
    <row r="21" spans="1:11" s="43" customFormat="1" ht="13.2" x14ac:dyDescent="0.25">
      <c r="A21" s="152">
        <f t="shared" si="11"/>
        <v>64.518435683969628</v>
      </c>
      <c r="B21" s="152">
        <f t="shared" si="12"/>
        <v>420.53025845802262</v>
      </c>
      <c r="C21" s="156">
        <f t="shared" si="14"/>
        <v>224.76467235273006</v>
      </c>
      <c r="D21" s="156">
        <f t="shared" si="15"/>
        <v>212.98014035688277</v>
      </c>
      <c r="E21" s="47" t="s">
        <v>368</v>
      </c>
      <c r="F21" s="71">
        <f>F30/(F27/365)</f>
        <v>179.41531369614688</v>
      </c>
      <c r="G21" s="71">
        <f t="shared" ref="G21:K21" si="17">G30/(G27/365)</f>
        <v>64.518435683969628</v>
      </c>
      <c r="H21" s="71">
        <f t="shared" si="17"/>
        <v>243.63836685781575</v>
      </c>
      <c r="I21" s="71">
        <f t="shared" si="17"/>
        <v>258.16374556447573</v>
      </c>
      <c r="J21" s="71">
        <f t="shared" si="17"/>
        <v>420.53025845802262</v>
      </c>
      <c r="K21" s="71">
        <f t="shared" si="17"/>
        <v>182.32191385594979</v>
      </c>
    </row>
    <row r="22" spans="1:11" s="43" customFormat="1" ht="13.2" x14ac:dyDescent="0.25">
      <c r="A22" s="152">
        <f t="shared" si="11"/>
        <v>-331.85255014642371</v>
      </c>
      <c r="B22" s="152">
        <f t="shared" si="12"/>
        <v>55.932790464960931</v>
      </c>
      <c r="C22" s="156">
        <f t="shared" si="14"/>
        <v>-115.63964616061629</v>
      </c>
      <c r="D22" s="156">
        <f t="shared" si="15"/>
        <v>-96.312351375971375</v>
      </c>
      <c r="E22" s="47" t="s">
        <v>294</v>
      </c>
      <c r="F22" s="71">
        <f>F19+F20-F21</f>
        <v>-49.530637103049543</v>
      </c>
      <c r="G22" s="71">
        <f t="shared" ref="G22:K22" si="18">G19+G20-G21</f>
        <v>55.932790464960931</v>
      </c>
      <c r="H22" s="71">
        <f t="shared" si="18"/>
        <v>-175.76277742724267</v>
      </c>
      <c r="I22" s="71">
        <f t="shared" si="18"/>
        <v>-106.99133757947934</v>
      </c>
      <c r="J22" s="71">
        <f t="shared" si="18"/>
        <v>-331.85255014642371</v>
      </c>
      <c r="K22" s="71">
        <f t="shared" si="18"/>
        <v>-85.633365172463414</v>
      </c>
    </row>
    <row r="23" spans="1:11" s="43" customFormat="1" ht="13.2" x14ac:dyDescent="0.25">
      <c r="A23" s="152">
        <f t="shared" si="11"/>
        <v>0.12047883957969469</v>
      </c>
      <c r="B23" s="152">
        <f t="shared" si="12"/>
        <v>0.37134531842104779</v>
      </c>
      <c r="C23" s="156">
        <f t="shared" si="14"/>
        <v>0.21792823976763309</v>
      </c>
      <c r="D23" s="156">
        <f t="shared" si="15"/>
        <v>0.2050997347940452</v>
      </c>
      <c r="E23" s="47" t="s">
        <v>295</v>
      </c>
      <c r="F23" s="71">
        <f>F27/F31</f>
        <v>0.17548216244757447</v>
      </c>
      <c r="G23" s="71">
        <f t="shared" ref="G23:K23" si="19">G27/G31</f>
        <v>0.22811988928601681</v>
      </c>
      <c r="H23" s="71">
        <f t="shared" si="19"/>
        <v>0.18207958030207358</v>
      </c>
      <c r="I23" s="71">
        <f t="shared" si="19"/>
        <v>0.12047883957969469</v>
      </c>
      <c r="J23" s="71">
        <f t="shared" si="19"/>
        <v>0.23006364856939127</v>
      </c>
      <c r="K23" s="71">
        <f t="shared" si="19"/>
        <v>0.37134531842104779</v>
      </c>
    </row>
    <row r="24" spans="1:11" s="43" customFormat="1" ht="13.2" x14ac:dyDescent="0.25">
      <c r="A24" s="152">
        <f t="shared" si="11"/>
        <v>0.19681394869459812</v>
      </c>
      <c r="B24" s="152">
        <f t="shared" si="12"/>
        <v>0.60817570588688696</v>
      </c>
      <c r="C24" s="156">
        <f t="shared" si="14"/>
        <v>0.36382012169303413</v>
      </c>
      <c r="D24" s="156">
        <f t="shared" si="15"/>
        <v>0.31506052303361509</v>
      </c>
      <c r="E24" s="121" t="s">
        <v>369</v>
      </c>
      <c r="F24" s="71">
        <f>F27/F32</f>
        <v>0.26290474660639601</v>
      </c>
      <c r="G24" s="71">
        <f t="shared" ref="G24:K24" si="20">G27/G32</f>
        <v>0.51475865910081364</v>
      </c>
      <c r="H24" s="71">
        <f t="shared" si="20"/>
        <v>0.23305137040867591</v>
      </c>
      <c r="I24" s="71">
        <f t="shared" si="20"/>
        <v>0.19681394869459812</v>
      </c>
      <c r="J24" s="71">
        <f t="shared" si="20"/>
        <v>0.36721629946083423</v>
      </c>
      <c r="K24" s="71">
        <f t="shared" si="20"/>
        <v>0.60817570588688696</v>
      </c>
    </row>
    <row r="25" spans="1:11" s="43" customFormat="1" ht="13.8" thickBot="1" x14ac:dyDescent="0.3">
      <c r="A25" s="152">
        <f t="shared" si="11"/>
        <v>0.31062922980997365</v>
      </c>
      <c r="B25" s="152">
        <f t="shared" si="12"/>
        <v>0.95360736253107548</v>
      </c>
      <c r="C25" s="156">
        <f t="shared" si="14"/>
        <v>0.60835099775032975</v>
      </c>
      <c r="D25" s="156">
        <f t="shared" si="15"/>
        <v>0.57185194520433758</v>
      </c>
      <c r="E25" s="49" t="s">
        <v>296</v>
      </c>
      <c r="F25" s="73">
        <f>F27/F33</f>
        <v>0.5277251169835917</v>
      </c>
      <c r="G25" s="73">
        <f t="shared" ref="G25:K25" si="21">G27/G33</f>
        <v>0.40966784918511845</v>
      </c>
      <c r="H25" s="73">
        <f t="shared" si="21"/>
        <v>0.83249765456713631</v>
      </c>
      <c r="I25" s="73">
        <f t="shared" si="21"/>
        <v>0.31062922980997365</v>
      </c>
      <c r="J25" s="73">
        <f t="shared" si="21"/>
        <v>0.61597877342508345</v>
      </c>
      <c r="K25" s="73">
        <f t="shared" si="21"/>
        <v>0.95360736253107548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965527.32</v>
      </c>
      <c r="G27" s="76">
        <f t="shared" ref="G27:K27" si="22">G93+G86</f>
        <v>1978768.19</v>
      </c>
      <c r="H27" s="76">
        <f t="shared" si="22"/>
        <v>875185.77</v>
      </c>
      <c r="I27" s="76">
        <f t="shared" si="22"/>
        <v>588535.27</v>
      </c>
      <c r="J27" s="76">
        <f t="shared" si="22"/>
        <v>956719.77</v>
      </c>
      <c r="K27" s="76">
        <f t="shared" si="22"/>
        <v>795520.06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339915.19</v>
      </c>
      <c r="G28" s="76">
        <f t="shared" ref="G28:K28" si="23">G116</f>
        <v>624513.77</v>
      </c>
      <c r="H28" s="76">
        <f t="shared" si="23"/>
        <v>155401.76999999999</v>
      </c>
      <c r="I28" s="76">
        <f t="shared" si="23"/>
        <v>240201.7</v>
      </c>
      <c r="J28" s="76">
        <f t="shared" si="23"/>
        <v>227642.07</v>
      </c>
      <c r="K28" s="76">
        <f t="shared" si="23"/>
        <v>206232.31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3666.19</v>
      </c>
      <c r="G29" s="76">
        <f t="shared" ref="G29:K29" si="24">G115</f>
        <v>28486.38</v>
      </c>
      <c r="H29" s="76">
        <f t="shared" si="24"/>
        <v>7348.23</v>
      </c>
      <c r="I29" s="76">
        <f t="shared" si="24"/>
        <v>3552.53</v>
      </c>
      <c r="J29" s="76">
        <f t="shared" si="24"/>
        <v>4795.51</v>
      </c>
      <c r="K29" s="76">
        <f t="shared" si="24"/>
        <v>4501.0600000000004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474603.8</v>
      </c>
      <c r="G30" s="76">
        <f t="shared" ref="G30:K30" si="25">G130</f>
        <v>349772.68</v>
      </c>
      <c r="H30" s="76">
        <f t="shared" si="25"/>
        <v>584188.57999999996</v>
      </c>
      <c r="I30" s="76">
        <f t="shared" si="25"/>
        <v>416269.78</v>
      </c>
      <c r="J30" s="76">
        <f t="shared" si="25"/>
        <v>1102272.9099999999</v>
      </c>
      <c r="K30" s="76">
        <f t="shared" si="25"/>
        <v>397371.89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5502139.4000000004</v>
      </c>
      <c r="G31" s="76">
        <f t="shared" ref="G31:K31" si="26">G120</f>
        <v>8674246.6699999999</v>
      </c>
      <c r="H31" s="76">
        <f t="shared" si="26"/>
        <v>4806611.3099999996</v>
      </c>
      <c r="I31" s="76">
        <f t="shared" si="26"/>
        <v>4884967.95</v>
      </c>
      <c r="J31" s="76">
        <f t="shared" si="26"/>
        <v>4158500.38</v>
      </c>
      <c r="K31" s="76">
        <f t="shared" si="26"/>
        <v>2142264.9500000002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3672536.66</v>
      </c>
      <c r="G32" s="76">
        <f t="shared" ref="G32:K32" si="27">G108</f>
        <v>3844069.75</v>
      </c>
      <c r="H32" s="76">
        <f t="shared" si="27"/>
        <v>3755334.15</v>
      </c>
      <c r="I32" s="76">
        <f t="shared" si="27"/>
        <v>2990312.8</v>
      </c>
      <c r="J32" s="76">
        <f t="shared" si="27"/>
        <v>2605330.35</v>
      </c>
      <c r="K32" s="76">
        <f t="shared" si="27"/>
        <v>1308043.1399999999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1829602.74</v>
      </c>
      <c r="G33" s="76">
        <f t="shared" ref="G33:K33" si="28">G114</f>
        <v>4830176.92</v>
      </c>
      <c r="H33" s="76">
        <f t="shared" si="28"/>
        <v>1051277.1599999999</v>
      </c>
      <c r="I33" s="76">
        <f t="shared" si="28"/>
        <v>1894655.15</v>
      </c>
      <c r="J33" s="76">
        <f t="shared" si="28"/>
        <v>1553170.03</v>
      </c>
      <c r="K33" s="76">
        <f t="shared" si="28"/>
        <v>834221.81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4.0323118918175749E-2</v>
      </c>
      <c r="B37" s="139">
        <f t="shared" ref="B37:B41" si="30">MAX(F37:K37)</f>
        <v>0.29137982909117827</v>
      </c>
      <c r="C37" s="160">
        <f t="shared" ref="C37:C41" si="31">AVERAGE(F37:K37)</f>
        <v>0.14354355710387309</v>
      </c>
      <c r="D37" s="160">
        <f t="shared" ref="D37:D41" si="32">MEDIAN(F37:K37)</f>
        <v>0.11057189415654564</v>
      </c>
      <c r="E37" s="47" t="s">
        <v>370</v>
      </c>
      <c r="F37" s="119">
        <f>F43/F44*100%</f>
        <v>8.6258047187972003E-2</v>
      </c>
      <c r="G37" s="119">
        <f t="shared" ref="G37:K37" si="33">G43/G44*100%</f>
        <v>4.0323118918175749E-2</v>
      </c>
      <c r="H37" s="119">
        <f t="shared" si="33"/>
        <v>0.13059656783439808</v>
      </c>
      <c r="I37" s="119">
        <f t="shared" si="33"/>
        <v>9.0547220478693208E-2</v>
      </c>
      <c r="J37" s="119">
        <f t="shared" si="33"/>
        <v>0.29137982909117827</v>
      </c>
      <c r="K37" s="119">
        <f t="shared" si="33"/>
        <v>0.2221565591128212</v>
      </c>
    </row>
    <row r="38" spans="1:11" s="43" customFormat="1" ht="13.2" x14ac:dyDescent="0.25">
      <c r="A38" s="139">
        <f t="shared" si="29"/>
        <v>0.1316393540340004</v>
      </c>
      <c r="B38" s="139">
        <f t="shared" si="30"/>
        <v>2.5721644046311321</v>
      </c>
      <c r="C38" s="155">
        <f t="shared" si="31"/>
        <v>0.9413614004052917</v>
      </c>
      <c r="D38" s="156">
        <f t="shared" si="32"/>
        <v>0.66442497410182411</v>
      </c>
      <c r="E38" s="50" t="s">
        <v>298</v>
      </c>
      <c r="F38" s="122">
        <f>F43/F45</f>
        <v>0.20210831695169681</v>
      </c>
      <c r="G38" s="122">
        <f t="shared" ref="G38:K38" si="34">G43/G45</f>
        <v>0.1316393540340004</v>
      </c>
      <c r="H38" s="122">
        <f t="shared" si="34"/>
        <v>0.58603659000531672</v>
      </c>
      <c r="I38" s="122">
        <f t="shared" si="34"/>
        <v>0.7428133581983315</v>
      </c>
      <c r="J38" s="122">
        <f t="shared" si="34"/>
        <v>2.5721644046311321</v>
      </c>
      <c r="K38" s="122">
        <f t="shared" si="34"/>
        <v>1.4134063786112727</v>
      </c>
    </row>
    <row r="39" spans="1:11" s="43" customFormat="1" ht="13.2" x14ac:dyDescent="0.25">
      <c r="A39" s="139">
        <f t="shared" si="29"/>
        <v>2.3430662244331355</v>
      </c>
      <c r="B39" s="139">
        <f t="shared" si="30"/>
        <v>8.8275307616652245</v>
      </c>
      <c r="C39" s="155">
        <f t="shared" si="31"/>
        <v>5.5814002105484404</v>
      </c>
      <c r="D39" s="156">
        <f t="shared" si="32"/>
        <v>5.4247949430097915</v>
      </c>
      <c r="E39" s="50" t="s">
        <v>299</v>
      </c>
      <c r="F39" s="122">
        <f>F44/F45</f>
        <v>2.3430662244331355</v>
      </c>
      <c r="G39" s="122">
        <f t="shared" ref="G39:K39" si="35">G44/G45</f>
        <v>3.2646124001748191</v>
      </c>
      <c r="H39" s="122">
        <f t="shared" si="35"/>
        <v>4.4873812514616436</v>
      </c>
      <c r="I39" s="122">
        <f t="shared" si="35"/>
        <v>8.2036019909978783</v>
      </c>
      <c r="J39" s="122">
        <f t="shared" si="35"/>
        <v>8.8275307616652245</v>
      </c>
      <c r="K39" s="122">
        <f t="shared" si="35"/>
        <v>6.3622086345579403</v>
      </c>
    </row>
    <row r="40" spans="1:11" s="43" customFormat="1" ht="13.2" x14ac:dyDescent="0.25">
      <c r="A40" s="139">
        <f t="shared" si="29"/>
        <v>0</v>
      </c>
      <c r="B40" s="139">
        <f t="shared" si="30"/>
        <v>3.6665081973170498E-2</v>
      </c>
      <c r="C40" s="160">
        <f t="shared" si="31"/>
        <v>1.2895118542454119E-2</v>
      </c>
      <c r="D40" s="160">
        <f t="shared" si="32"/>
        <v>7.195400909820562E-3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9.0580155523330638E-3</v>
      </c>
      <c r="I40" s="119">
        <f t="shared" si="36"/>
        <v>5.3327862673080593E-3</v>
      </c>
      <c r="J40" s="119">
        <f t="shared" si="36"/>
        <v>2.6314827461913087E-2</v>
      </c>
      <c r="K40" s="119">
        <f t="shared" si="36"/>
        <v>3.6665081973170498E-2</v>
      </c>
    </row>
    <row r="41" spans="1:11" s="43" customFormat="1" ht="13.8" thickBot="1" x14ac:dyDescent="0.3">
      <c r="A41" s="139">
        <f t="shared" si="29"/>
        <v>-1469.2788782020757</v>
      </c>
      <c r="B41" s="139">
        <f t="shared" si="30"/>
        <v>121.75070951691924</v>
      </c>
      <c r="C41" s="155">
        <f t="shared" si="31"/>
        <v>-219.36901037559736</v>
      </c>
      <c r="D41" s="156">
        <f t="shared" si="32"/>
        <v>6.0892318682718871</v>
      </c>
      <c r="E41" s="51" t="s">
        <v>300</v>
      </c>
      <c r="F41" s="123">
        <f>(F47+F48)/F48</f>
        <v>-1469.2788782020757</v>
      </c>
      <c r="G41" s="123">
        <f t="shared" ref="G41:K41" si="37">(G47+G48)/G48</f>
        <v>6.303661998151509</v>
      </c>
      <c r="H41" s="123">
        <f t="shared" si="37"/>
        <v>121.75070951691924</v>
      </c>
      <c r="I41" s="123">
        <f t="shared" si="37"/>
        <v>5.8748017383922653</v>
      </c>
      <c r="J41" s="123">
        <f t="shared" si="37"/>
        <v>14.696662222276586</v>
      </c>
      <c r="K41" s="123">
        <f t="shared" si="37"/>
        <v>4.4389804727518056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474603.8</v>
      </c>
      <c r="G43" s="76">
        <f t="shared" ref="G43:K43" si="38">G129+G130</f>
        <v>349772.68</v>
      </c>
      <c r="H43" s="76">
        <f t="shared" si="38"/>
        <v>627726.93999999994</v>
      </c>
      <c r="I43" s="76">
        <f t="shared" si="38"/>
        <v>442320.27</v>
      </c>
      <c r="J43" s="76">
        <f t="shared" si="38"/>
        <v>1211703.1299999999</v>
      </c>
      <c r="K43" s="76">
        <f t="shared" si="38"/>
        <v>475918.21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5502139.4000000004</v>
      </c>
      <c r="G44" s="76">
        <f t="shared" ref="G44:K44" si="39">G120</f>
        <v>8674246.6699999999</v>
      </c>
      <c r="H44" s="76">
        <f t="shared" si="39"/>
        <v>4806611.3099999996</v>
      </c>
      <c r="I44" s="76">
        <f t="shared" si="39"/>
        <v>4884967.95</v>
      </c>
      <c r="J44" s="76">
        <f t="shared" si="39"/>
        <v>4158500.38</v>
      </c>
      <c r="K44" s="76">
        <f t="shared" si="39"/>
        <v>2142264.9500000002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2348264.5699999998</v>
      </c>
      <c r="G45" s="76">
        <f t="shared" ref="G45:K45" si="40">G122</f>
        <v>2657052.54</v>
      </c>
      <c r="H45" s="76">
        <f t="shared" si="40"/>
        <v>1071139.5</v>
      </c>
      <c r="I45" s="76">
        <f t="shared" si="40"/>
        <v>595466.23</v>
      </c>
      <c r="J45" s="76">
        <f t="shared" si="40"/>
        <v>471083.08</v>
      </c>
      <c r="K45" s="76">
        <f t="shared" si="40"/>
        <v>336717.18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43538.36</v>
      </c>
      <c r="I46" s="76">
        <f t="shared" si="41"/>
        <v>26050.49</v>
      </c>
      <c r="J46" s="76">
        <f t="shared" si="41"/>
        <v>109430.22</v>
      </c>
      <c r="K46" s="76">
        <f t="shared" si="41"/>
        <v>78546.320000000007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-308787.96999999997</v>
      </c>
      <c r="G47" s="76">
        <f t="shared" ref="G47:K47" si="42">G102</f>
        <v>1585913.05</v>
      </c>
      <c r="H47" s="76">
        <f t="shared" si="42"/>
        <v>475673.27</v>
      </c>
      <c r="I47" s="76">
        <f t="shared" si="42"/>
        <v>124383.15</v>
      </c>
      <c r="J47" s="76">
        <f t="shared" si="42"/>
        <v>134365.9</v>
      </c>
      <c r="K47" s="76">
        <f t="shared" si="42"/>
        <v>22021.03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210.02</v>
      </c>
      <c r="G48" s="76">
        <f t="shared" ref="G48:K48" si="43">G101</f>
        <v>299022.27</v>
      </c>
      <c r="H48" s="76">
        <f t="shared" si="43"/>
        <v>3939.3</v>
      </c>
      <c r="I48" s="76">
        <f t="shared" si="43"/>
        <v>25515.53</v>
      </c>
      <c r="J48" s="76">
        <f t="shared" si="43"/>
        <v>9810.1200000000008</v>
      </c>
      <c r="K48" s="76">
        <f t="shared" si="43"/>
        <v>6403.36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-0.52138565769435952</v>
      </c>
      <c r="B52" s="139">
        <f t="shared" ref="B52:B63" si="45">MAX(F52:K52)</f>
        <v>0.43874667725911282</v>
      </c>
      <c r="C52" s="160">
        <f t="shared" ref="C52:C63" si="46">AVERAGE(F52:K52)</f>
        <v>9.2396186358482305E-2</v>
      </c>
      <c r="D52" s="160">
        <f t="shared" ref="D52:D63" si="47">MEDIAN(F52:K52)</f>
        <v>0.15019210433180302</v>
      </c>
      <c r="E52" s="50" t="s">
        <v>350</v>
      </c>
      <c r="F52" s="119">
        <f t="shared" ref="F52:K52" si="48">(F65/(F70+F71))*100%</f>
        <v>-0.52138565769435952</v>
      </c>
      <c r="G52" s="119">
        <f t="shared" si="48"/>
        <v>0.43874667725911282</v>
      </c>
      <c r="H52" s="119">
        <f t="shared" si="48"/>
        <v>0.21580246928168348</v>
      </c>
      <c r="I52" s="119">
        <f t="shared" si="48"/>
        <v>0.34313474092247126</v>
      </c>
      <c r="J52" s="119">
        <f t="shared" si="48"/>
        <v>8.4581739381922566E-2</v>
      </c>
      <c r="K52" s="120">
        <f t="shared" si="48"/>
        <v>-6.502850999936762E-3</v>
      </c>
    </row>
    <row r="53" spans="1:11" s="43" customFormat="1" ht="13.2" x14ac:dyDescent="0.25">
      <c r="A53" s="139">
        <f t="shared" si="44"/>
        <v>-0.30892473348138927</v>
      </c>
      <c r="B53" s="139">
        <f t="shared" si="45"/>
        <v>0.63440569054225604</v>
      </c>
      <c r="C53" s="160">
        <f t="shared" si="46"/>
        <v>8.5769106625549416E-2</v>
      </c>
      <c r="D53" s="160">
        <f t="shared" si="47"/>
        <v>3.8233547350433286E-2</v>
      </c>
      <c r="E53" s="50" t="s">
        <v>351</v>
      </c>
      <c r="F53" s="119">
        <f>(F66/F70)*100%</f>
        <v>-0.30892473348138927</v>
      </c>
      <c r="G53" s="119">
        <f t="shared" ref="G53:K53" si="49">(G66/G70)*100%</f>
        <v>0.63440569054225604</v>
      </c>
      <c r="H53" s="119">
        <f t="shared" si="49"/>
        <v>0.12213876603592401</v>
      </c>
      <c r="I53" s="119">
        <f t="shared" si="49"/>
        <v>8.2945649119720563E-2</v>
      </c>
      <c r="J53" s="119">
        <f t="shared" si="49"/>
        <v>-9.4721780443608895E-3</v>
      </c>
      <c r="K53" s="120">
        <f t="shared" si="49"/>
        <v>-6.4785544188540002E-3</v>
      </c>
    </row>
    <row r="54" spans="1:11" s="43" customFormat="1" ht="13.2" x14ac:dyDescent="0.25">
      <c r="A54" s="139">
        <f t="shared" si="44"/>
        <v>-2.9490277028684973E-2</v>
      </c>
      <c r="B54" s="139">
        <f t="shared" si="45"/>
        <v>3.0005086257848479E-2</v>
      </c>
      <c r="C54" s="160">
        <f t="shared" si="46"/>
        <v>6.9591168263558852E-3</v>
      </c>
      <c r="D54" s="160">
        <f t="shared" si="47"/>
        <v>1.6853905550980562E-2</v>
      </c>
      <c r="E54" s="50" t="s">
        <v>342</v>
      </c>
      <c r="F54" s="119">
        <f>(F67/SUM(F72:F74))*100%</f>
        <v>-2.9490277028684973E-2</v>
      </c>
      <c r="G54" s="119">
        <f t="shared" ref="G54:K54" si="50">(G67/SUM(G72:G74))*100%</f>
        <v>-1.5288818331748425E-2</v>
      </c>
      <c r="H54" s="119">
        <f t="shared" si="50"/>
        <v>1.714981704076235E-2</v>
      </c>
      <c r="I54" s="119">
        <f t="shared" si="50"/>
        <v>3.0005086257848479E-2</v>
      </c>
      <c r="J54" s="119">
        <f t="shared" si="50"/>
        <v>2.2820898958759103E-2</v>
      </c>
      <c r="K54" s="120">
        <f t="shared" si="50"/>
        <v>1.6557994061198778E-2</v>
      </c>
    </row>
    <row r="55" spans="1:11" s="43" customFormat="1" ht="13.2" x14ac:dyDescent="0.25">
      <c r="A55" s="139">
        <f t="shared" si="44"/>
        <v>-2.8645512917130089E-2</v>
      </c>
      <c r="B55" s="139">
        <f t="shared" si="45"/>
        <v>3.0933240816791194E-2</v>
      </c>
      <c r="C55" s="160">
        <f t="shared" si="46"/>
        <v>7.4781391966439242E-3</v>
      </c>
      <c r="D55" s="160">
        <f t="shared" si="47"/>
        <v>1.71429213192907E-2</v>
      </c>
      <c r="E55" s="50" t="s">
        <v>343</v>
      </c>
      <c r="F55" s="119">
        <f>((F72-F76)/F76)*100%</f>
        <v>-2.8645512917130089E-2</v>
      </c>
      <c r="G55" s="119">
        <f t="shared" ref="G55:K55" si="51">((G72-G76)/G76)*100%</f>
        <v>-1.5058590280615876E-2</v>
      </c>
      <c r="H55" s="119">
        <f t="shared" si="51"/>
        <v>1.7449065318507057E-2</v>
      </c>
      <c r="I55" s="119">
        <f t="shared" si="51"/>
        <v>3.0933240816791194E-2</v>
      </c>
      <c r="J55" s="119">
        <f t="shared" si="51"/>
        <v>2.3353854922236916E-2</v>
      </c>
      <c r="K55" s="120">
        <f t="shared" si="51"/>
        <v>1.6836777320074343E-2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-2.0841756318806432E-2</v>
      </c>
      <c r="B58" s="139">
        <f t="shared" si="45"/>
        <v>0.10133168695371068</v>
      </c>
      <c r="C58" s="155">
        <f t="shared" si="46"/>
        <v>2.5135663306121894E-2</v>
      </c>
      <c r="D58" s="156">
        <f t="shared" si="47"/>
        <v>1.5640545905818665E-2</v>
      </c>
      <c r="E58" s="50" t="s">
        <v>356</v>
      </c>
      <c r="F58" s="71">
        <f>F68/(F70+F71+F72+F73+F74+F75)</f>
        <v>-2.0841756318806432E-2</v>
      </c>
      <c r="G58" s="71">
        <f t="shared" ref="G58:K58" si="52">G68/(G70+G71+G72+G73+G74)</f>
        <v>0.10133168695371068</v>
      </c>
      <c r="H58" s="71">
        <f t="shared" si="52"/>
        <v>3.5089190647706686E-2</v>
      </c>
      <c r="I58" s="71">
        <f t="shared" si="52"/>
        <v>1.5342320161083224E-2</v>
      </c>
      <c r="J58" s="71">
        <f t="shared" si="52"/>
        <v>1.5938771650554105E-2</v>
      </c>
      <c r="K58" s="72">
        <f t="shared" si="52"/>
        <v>3.9537667424830907E-3</v>
      </c>
    </row>
    <row r="59" spans="1:11" s="43" customFormat="1" ht="13.2" x14ac:dyDescent="0.25">
      <c r="A59" s="139">
        <f t="shared" si="44"/>
        <v>-2.0841756318806432E-2</v>
      </c>
      <c r="B59" s="139">
        <f t="shared" si="45"/>
        <v>9.7135331753606155E-2</v>
      </c>
      <c r="C59" s="155">
        <f t="shared" si="46"/>
        <v>2.443572444254825E-2</v>
      </c>
      <c r="D59" s="156">
        <f t="shared" si="47"/>
        <v>1.5638967969658458E-2</v>
      </c>
      <c r="E59" s="50" t="s">
        <v>361</v>
      </c>
      <c r="F59" s="71">
        <f>F69/(F70+F71+F72+F73+F74+F75)</f>
        <v>-2.0841756318806432E-2</v>
      </c>
      <c r="G59" s="71">
        <f t="shared" ref="G59:K59" si="53">G69/(G70+G71+G72+G73+G74+G75)</f>
        <v>9.7135331753606155E-2</v>
      </c>
      <c r="H59" s="71">
        <f t="shared" si="53"/>
        <v>3.5089092028453395E-2</v>
      </c>
      <c r="I59" s="71">
        <f t="shared" si="53"/>
        <v>1.5339164288762809E-2</v>
      </c>
      <c r="J59" s="71">
        <f t="shared" si="53"/>
        <v>1.5938771650554105E-2</v>
      </c>
      <c r="K59" s="72">
        <f t="shared" si="53"/>
        <v>3.9537432527194764E-3</v>
      </c>
    </row>
    <row r="60" spans="1:11" s="43" customFormat="1" ht="26.4" x14ac:dyDescent="0.25">
      <c r="A60" s="139">
        <f t="shared" si="44"/>
        <v>-0.13653294389451492</v>
      </c>
      <c r="B60" s="139">
        <f t="shared" si="45"/>
        <v>0.11461219375261321</v>
      </c>
      <c r="C60" s="160">
        <f t="shared" si="46"/>
        <v>1.5559204153806809E-2</v>
      </c>
      <c r="D60" s="160">
        <f t="shared" si="47"/>
        <v>3.3822588995414037E-2</v>
      </c>
      <c r="E60" s="50" t="s">
        <v>372</v>
      </c>
      <c r="F60" s="119">
        <f>F65/F79*100%</f>
        <v>-0.13653294389451492</v>
      </c>
      <c r="G60" s="119">
        <f t="shared" ref="G60:K60" si="54">G65/G79*100%</f>
        <v>0.11461219375261321</v>
      </c>
      <c r="H60" s="119">
        <f t="shared" si="54"/>
        <v>5.015421977193326E-2</v>
      </c>
      <c r="I60" s="119">
        <f t="shared" si="54"/>
        <v>4.691615018681955E-2</v>
      </c>
      <c r="J60" s="119">
        <f t="shared" si="54"/>
        <v>2.072902780400852E-2</v>
      </c>
      <c r="K60" s="120">
        <f t="shared" si="54"/>
        <v>-2.5234226980187487E-3</v>
      </c>
    </row>
    <row r="61" spans="1:11" s="43" customFormat="1" ht="13.2" x14ac:dyDescent="0.25">
      <c r="A61" s="139">
        <f t="shared" si="44"/>
        <v>-5.6121437054102982E-2</v>
      </c>
      <c r="B61" s="139">
        <f t="shared" si="45"/>
        <v>0.18283006125303097</v>
      </c>
      <c r="C61" s="155">
        <f t="shared" si="46"/>
        <v>4.8953968197801991E-2</v>
      </c>
      <c r="D61" s="156">
        <f t="shared" si="47"/>
        <v>2.888678598818796E-2</v>
      </c>
      <c r="E61" s="50" t="s">
        <v>373</v>
      </c>
      <c r="F61" s="71">
        <f>F69/F79</f>
        <v>-5.6121437054102982E-2</v>
      </c>
      <c r="G61" s="71">
        <f t="shared" ref="G61:K61" si="55">G69/G79</f>
        <v>0.18283006125303097</v>
      </c>
      <c r="H61" s="71">
        <f t="shared" si="55"/>
        <v>9.8962291585836609E-2</v>
      </c>
      <c r="I61" s="71">
        <f t="shared" si="55"/>
        <v>2.546242908308129E-2</v>
      </c>
      <c r="J61" s="71">
        <f t="shared" si="55"/>
        <v>3.2311142893294627E-2</v>
      </c>
      <c r="K61" s="72">
        <f t="shared" si="55"/>
        <v>1.0279321425671459E-2</v>
      </c>
    </row>
    <row r="62" spans="1:11" s="43" customFormat="1" ht="13.2" x14ac:dyDescent="0.25">
      <c r="A62" s="139">
        <f t="shared" si="44"/>
        <v>-0.13149624362811896</v>
      </c>
      <c r="B62" s="139">
        <f t="shared" si="45"/>
        <v>0.47245652131515625</v>
      </c>
      <c r="C62" s="155">
        <f t="shared" si="46"/>
        <v>8.1365361432964106E-2</v>
      </c>
      <c r="D62" s="156">
        <f t="shared" si="47"/>
        <v>3.3337059612397441E-2</v>
      </c>
      <c r="E62" s="50" t="s">
        <v>374</v>
      </c>
      <c r="F62" s="71">
        <f>F69/F80</f>
        <v>-0.13149624362811896</v>
      </c>
      <c r="G62" s="71">
        <f>G66/G80</f>
        <v>0.47245652131515625</v>
      </c>
      <c r="H62" s="71">
        <f>H66/H80</f>
        <v>9.9794760626417012E-2</v>
      </c>
      <c r="I62" s="71">
        <f>I66/I80</f>
        <v>8.1980198944279353E-2</v>
      </c>
      <c r="J62" s="71">
        <f>J66/J80</f>
        <v>-1.9236988940464599E-2</v>
      </c>
      <c r="K62" s="72">
        <f>K66/K80</f>
        <v>-1.5306079719484464E-2</v>
      </c>
    </row>
    <row r="63" spans="1:11" s="43" customFormat="1" ht="13.8" thickBot="1" x14ac:dyDescent="0.3">
      <c r="A63" s="139">
        <f t="shared" si="44"/>
        <v>-0.31990572936166223</v>
      </c>
      <c r="B63" s="139">
        <f t="shared" si="45"/>
        <v>0.37416438893602005</v>
      </c>
      <c r="C63" s="155">
        <f t="shared" si="46"/>
        <v>0.12912545427300878</v>
      </c>
      <c r="D63" s="156">
        <f t="shared" si="47"/>
        <v>0.18238128269165199</v>
      </c>
      <c r="E63" s="51" t="s">
        <v>302</v>
      </c>
      <c r="F63" s="73">
        <f t="shared" ref="F63:K63" si="56">F65/(F80+F81)</f>
        <v>-0.31990572936166223</v>
      </c>
      <c r="G63" s="73">
        <f t="shared" si="56"/>
        <v>0.37416438893602005</v>
      </c>
      <c r="H63" s="73">
        <f t="shared" si="56"/>
        <v>0.21627041197355437</v>
      </c>
      <c r="I63" s="73">
        <f t="shared" si="56"/>
        <v>0.36874935560864724</v>
      </c>
      <c r="J63" s="73">
        <f t="shared" si="56"/>
        <v>0.14849215340974961</v>
      </c>
      <c r="K63" s="74">
        <f t="shared" si="56"/>
        <v>-1.3017854928256396E-2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-751223.29</v>
      </c>
      <c r="G65" s="76">
        <f t="shared" ref="G65:K65" si="57">G97</f>
        <v>994174.44</v>
      </c>
      <c r="H65" s="76">
        <f t="shared" si="57"/>
        <v>241071.84</v>
      </c>
      <c r="I65" s="76">
        <f t="shared" si="57"/>
        <v>229183.89</v>
      </c>
      <c r="J65" s="76">
        <f t="shared" si="57"/>
        <v>86201.67</v>
      </c>
      <c r="K65" s="76">
        <f t="shared" si="57"/>
        <v>-5405.84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-298275.27</v>
      </c>
      <c r="G66" s="76">
        <f t="shared" ref="G66:K66" si="58">G95</f>
        <v>1255341.8</v>
      </c>
      <c r="H66" s="76">
        <f t="shared" si="58"/>
        <v>106894.11</v>
      </c>
      <c r="I66" s="76">
        <f t="shared" si="58"/>
        <v>48816.44</v>
      </c>
      <c r="J66" s="76">
        <f t="shared" si="58"/>
        <v>-9062.2199999999993</v>
      </c>
      <c r="K66" s="76">
        <f t="shared" si="58"/>
        <v>-5153.82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-394432.8</v>
      </c>
      <c r="G67" s="76">
        <f t="shared" ref="G67:K67" si="59">G92</f>
        <v>-204637.32</v>
      </c>
      <c r="H67" s="76">
        <f t="shared" si="59"/>
        <v>213327</v>
      </c>
      <c r="I67" s="76">
        <f t="shared" si="59"/>
        <v>223216.26</v>
      </c>
      <c r="J67" s="76">
        <f t="shared" si="59"/>
        <v>169125.15</v>
      </c>
      <c r="K67" s="76">
        <f t="shared" si="59"/>
        <v>78457.240000000005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-308787.96999999997</v>
      </c>
      <c r="G68" s="76">
        <f t="shared" ref="G68:K68" si="60">G102</f>
        <v>1585913.05</v>
      </c>
      <c r="H68" s="76">
        <f t="shared" si="60"/>
        <v>475673.27</v>
      </c>
      <c r="I68" s="76">
        <f t="shared" si="60"/>
        <v>124383.15</v>
      </c>
      <c r="J68" s="76">
        <f t="shared" si="60"/>
        <v>134365.9</v>
      </c>
      <c r="K68" s="76">
        <f t="shared" si="60"/>
        <v>22021.03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-308787.96999999997</v>
      </c>
      <c r="G69" s="76">
        <f t="shared" ref="G69:K69" si="61">G104</f>
        <v>1585913.05</v>
      </c>
      <c r="H69" s="76">
        <f t="shared" si="61"/>
        <v>475673.27</v>
      </c>
      <c r="I69" s="76">
        <f t="shared" si="61"/>
        <v>124383.15</v>
      </c>
      <c r="J69" s="76">
        <f t="shared" si="61"/>
        <v>134365.9</v>
      </c>
      <c r="K69" s="76">
        <f t="shared" si="61"/>
        <v>22021.03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965527.32</v>
      </c>
      <c r="G70" s="76">
        <f t="shared" ref="G70:K70" si="62">G93</f>
        <v>1978768.19</v>
      </c>
      <c r="H70" s="76">
        <f t="shared" si="62"/>
        <v>875185.77</v>
      </c>
      <c r="I70" s="76">
        <f t="shared" si="62"/>
        <v>588535.27</v>
      </c>
      <c r="J70" s="76">
        <f t="shared" si="62"/>
        <v>956719.77</v>
      </c>
      <c r="K70" s="76">
        <f t="shared" si="62"/>
        <v>795520.06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475293.46</v>
      </c>
      <c r="G71" s="76">
        <f t="shared" ref="G71:K71" si="63">G98</f>
        <v>287173.62</v>
      </c>
      <c r="H71" s="76">
        <f t="shared" si="63"/>
        <v>241909.14</v>
      </c>
      <c r="I71" s="76">
        <f t="shared" si="63"/>
        <v>79376.960000000006</v>
      </c>
      <c r="J71" s="76">
        <f t="shared" si="63"/>
        <v>62432.480000000003</v>
      </c>
      <c r="K71" s="76">
        <f t="shared" si="63"/>
        <v>35783.01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13375011.689999999</v>
      </c>
      <c r="G72" s="76">
        <f t="shared" ref="G72:K74" si="64">G85</f>
        <v>13384770.199999999</v>
      </c>
      <c r="H72" s="76">
        <f t="shared" si="64"/>
        <v>12439024.83</v>
      </c>
      <c r="I72" s="76">
        <f t="shared" si="64"/>
        <v>7439280.7300000004</v>
      </c>
      <c r="J72" s="76">
        <f t="shared" si="64"/>
        <v>7410976.6799999997</v>
      </c>
      <c r="K72" s="76">
        <f t="shared" si="64"/>
        <v>4738330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676128.3</v>
      </c>
      <c r="H75" s="76">
        <f t="shared" si="65"/>
        <v>38.1</v>
      </c>
      <c r="I75" s="76">
        <f t="shared" si="65"/>
        <v>1667.97</v>
      </c>
      <c r="J75" s="76">
        <f t="shared" si="65"/>
        <v>0</v>
      </c>
      <c r="K75" s="76">
        <f t="shared" si="65"/>
        <v>33.090000000000003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13769444.49</v>
      </c>
      <c r="G76" s="76">
        <f t="shared" ref="G76:K78" si="66">G89</f>
        <v>13589407.52</v>
      </c>
      <c r="H76" s="76">
        <f t="shared" si="66"/>
        <v>12225697.83</v>
      </c>
      <c r="I76" s="76">
        <f t="shared" si="66"/>
        <v>7216064.4699999997</v>
      </c>
      <c r="J76" s="76">
        <f t="shared" si="66"/>
        <v>7241851.5300000003</v>
      </c>
      <c r="K76" s="76">
        <f t="shared" si="66"/>
        <v>4659872.76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5502139.4000000004</v>
      </c>
      <c r="G79" s="76">
        <f t="shared" ref="G79:K79" si="67">G120</f>
        <v>8674246.6699999999</v>
      </c>
      <c r="H79" s="76">
        <f t="shared" si="67"/>
        <v>4806611.3099999996</v>
      </c>
      <c r="I79" s="76">
        <f t="shared" si="67"/>
        <v>4884967.95</v>
      </c>
      <c r="J79" s="76">
        <f t="shared" si="67"/>
        <v>4158500.38</v>
      </c>
      <c r="K79" s="76">
        <f t="shared" si="67"/>
        <v>2142264.9500000002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2348264.5699999998</v>
      </c>
      <c r="G80" s="76">
        <f t="shared" ref="G80:K80" si="68">G122</f>
        <v>2657052.54</v>
      </c>
      <c r="H80" s="76">
        <f t="shared" si="68"/>
        <v>1071139.5</v>
      </c>
      <c r="I80" s="76">
        <f t="shared" si="68"/>
        <v>595466.23</v>
      </c>
      <c r="J80" s="76">
        <f t="shared" si="68"/>
        <v>471083.08</v>
      </c>
      <c r="K80" s="76">
        <f t="shared" si="68"/>
        <v>336717.18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43538.36</v>
      </c>
      <c r="I81" s="76">
        <f t="shared" si="69"/>
        <v>26050.49</v>
      </c>
      <c r="J81" s="76">
        <f t="shared" si="69"/>
        <v>109430.22</v>
      </c>
      <c r="K81" s="76">
        <f t="shared" si="69"/>
        <v>78546.320000000007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13375011.689999999</v>
      </c>
      <c r="G84" s="90">
        <v>13384770.199999999</v>
      </c>
      <c r="H84" s="90">
        <v>12439024.83</v>
      </c>
      <c r="I84" s="90">
        <v>7439280.7300000004</v>
      </c>
      <c r="J84" s="90">
        <v>7410976.6799999997</v>
      </c>
      <c r="K84" s="90">
        <v>4738330</v>
      </c>
    </row>
    <row r="85" spans="3:11" x14ac:dyDescent="0.3">
      <c r="E85" s="11" t="s">
        <v>3</v>
      </c>
      <c r="F85" s="90">
        <v>13375011.689999999</v>
      </c>
      <c r="G85" s="90">
        <v>13384770.199999999</v>
      </c>
      <c r="H85" s="90">
        <v>12439024.83</v>
      </c>
      <c r="I85" s="90">
        <v>7439280.7300000004</v>
      </c>
      <c r="J85" s="90">
        <v>7410976.6799999997</v>
      </c>
      <c r="K85" s="90">
        <v>4738330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13769444.49</v>
      </c>
      <c r="G88" s="90">
        <v>13589407.52</v>
      </c>
      <c r="H88" s="90">
        <v>12225697.83</v>
      </c>
      <c r="I88" s="90">
        <v>7216064.4699999997</v>
      </c>
      <c r="J88" s="90">
        <v>7241851.5300000003</v>
      </c>
      <c r="K88" s="90">
        <v>4659872.76</v>
      </c>
    </row>
    <row r="89" spans="3:11" x14ac:dyDescent="0.3">
      <c r="E89" s="11" t="s">
        <v>7</v>
      </c>
      <c r="F89" s="90">
        <v>13769444.49</v>
      </c>
      <c r="G89" s="90">
        <v>13589407.52</v>
      </c>
      <c r="H89" s="90">
        <v>12225697.83</v>
      </c>
      <c r="I89" s="90">
        <v>7216064.4699999997</v>
      </c>
      <c r="J89" s="90">
        <v>7241851.5300000003</v>
      </c>
      <c r="K89" s="90">
        <v>4659872.76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-394432.8</v>
      </c>
      <c r="G92" s="90">
        <v>-204637.32</v>
      </c>
      <c r="H92" s="90">
        <v>213327</v>
      </c>
      <c r="I92" s="90">
        <v>223216.26</v>
      </c>
      <c r="J92" s="90">
        <v>169125.15</v>
      </c>
      <c r="K92" s="90">
        <v>78457.240000000005</v>
      </c>
    </row>
    <row r="93" spans="3:11" x14ac:dyDescent="0.3">
      <c r="E93" s="11" t="s">
        <v>11</v>
      </c>
      <c r="F93" s="90">
        <v>965527.32</v>
      </c>
      <c r="G93" s="90">
        <v>1978768.19</v>
      </c>
      <c r="H93" s="90">
        <v>875185.77</v>
      </c>
      <c r="I93" s="90">
        <v>588535.27</v>
      </c>
      <c r="J93" s="90">
        <v>956719.77</v>
      </c>
      <c r="K93" s="90">
        <v>795520.06</v>
      </c>
    </row>
    <row r="94" spans="3:11" x14ac:dyDescent="0.3">
      <c r="E94" s="11" t="s">
        <v>12</v>
      </c>
      <c r="F94" s="90">
        <v>1263802.5900000001</v>
      </c>
      <c r="G94" s="90">
        <v>723426.39</v>
      </c>
      <c r="H94" s="90">
        <v>768291.66</v>
      </c>
      <c r="I94" s="90">
        <v>539718.82999999996</v>
      </c>
      <c r="J94" s="90">
        <v>965781.99</v>
      </c>
      <c r="K94" s="90">
        <v>800673.88</v>
      </c>
    </row>
    <row r="95" spans="3:11" x14ac:dyDescent="0.3">
      <c r="E95" s="11" t="s">
        <v>13</v>
      </c>
      <c r="F95" s="90">
        <v>-298275.27</v>
      </c>
      <c r="G95" s="90">
        <v>1255341.8</v>
      </c>
      <c r="H95" s="90">
        <v>106894.11</v>
      </c>
      <c r="I95" s="90">
        <v>48816.44</v>
      </c>
      <c r="J95" s="90">
        <v>-9062.2199999999993</v>
      </c>
      <c r="K95" s="90">
        <v>-5153.82</v>
      </c>
    </row>
    <row r="96" spans="3:11" x14ac:dyDescent="0.3">
      <c r="E96" s="11" t="s">
        <v>14</v>
      </c>
      <c r="F96" s="90">
        <v>58515.22</v>
      </c>
      <c r="G96" s="90">
        <v>56530.04</v>
      </c>
      <c r="H96" s="90">
        <v>79149.27</v>
      </c>
      <c r="I96" s="90">
        <v>42848.81</v>
      </c>
      <c r="J96" s="90">
        <v>73861.259999999995</v>
      </c>
      <c r="K96" s="90">
        <v>78709.259999999995</v>
      </c>
    </row>
    <row r="97" spans="5:11" x14ac:dyDescent="0.3">
      <c r="E97" s="11" t="s">
        <v>15</v>
      </c>
      <c r="F97" s="90">
        <v>-751223.29</v>
      </c>
      <c r="G97" s="90">
        <v>994174.44</v>
      </c>
      <c r="H97" s="90">
        <v>241071.84</v>
      </c>
      <c r="I97" s="90">
        <v>229183.89</v>
      </c>
      <c r="J97" s="90">
        <v>86201.67</v>
      </c>
      <c r="K97" s="90">
        <v>-5405.84</v>
      </c>
    </row>
    <row r="98" spans="5:11" x14ac:dyDescent="0.3">
      <c r="E98" s="11" t="s">
        <v>16</v>
      </c>
      <c r="F98" s="90">
        <v>475293.46</v>
      </c>
      <c r="G98" s="90">
        <v>287173.62</v>
      </c>
      <c r="H98" s="90">
        <v>241909.14</v>
      </c>
      <c r="I98" s="90">
        <v>79376.960000000006</v>
      </c>
      <c r="J98" s="90">
        <v>62432.480000000003</v>
      </c>
      <c r="K98" s="90">
        <v>35783.01</v>
      </c>
    </row>
    <row r="99" spans="5:11" x14ac:dyDescent="0.3">
      <c r="E99" s="11" t="s">
        <v>17</v>
      </c>
      <c r="F99" s="90">
        <v>32648.12</v>
      </c>
      <c r="G99" s="90">
        <v>72541.039999999994</v>
      </c>
      <c r="H99" s="90">
        <v>3406.51</v>
      </c>
      <c r="I99" s="90">
        <v>160330.14000000001</v>
      </c>
      <c r="J99" s="90">
        <v>4458.13</v>
      </c>
      <c r="K99" s="90">
        <v>1985.87</v>
      </c>
    </row>
    <row r="100" spans="5:11" x14ac:dyDescent="0.3">
      <c r="E100" s="11" t="s">
        <v>18</v>
      </c>
      <c r="F100" s="107">
        <v>0</v>
      </c>
      <c r="G100" s="90">
        <v>676128.3</v>
      </c>
      <c r="H100" s="107">
        <v>38.1</v>
      </c>
      <c r="I100" s="90">
        <v>1667.97</v>
      </c>
      <c r="J100" s="107">
        <v>0</v>
      </c>
      <c r="K100" s="107">
        <v>33.090000000000003</v>
      </c>
    </row>
    <row r="101" spans="5:11" x14ac:dyDescent="0.3">
      <c r="E101" s="11" t="s">
        <v>19</v>
      </c>
      <c r="F101" s="107">
        <v>210.02</v>
      </c>
      <c r="G101" s="90">
        <v>299022.27</v>
      </c>
      <c r="H101" s="90">
        <v>3939.3</v>
      </c>
      <c r="I101" s="90">
        <v>25515.53</v>
      </c>
      <c r="J101" s="90">
        <v>9810.1200000000008</v>
      </c>
      <c r="K101" s="90">
        <v>6403.36</v>
      </c>
    </row>
    <row r="102" spans="5:11" x14ac:dyDescent="0.3">
      <c r="E102" s="11" t="s">
        <v>20</v>
      </c>
      <c r="F102" s="90">
        <v>-308787.96999999997</v>
      </c>
      <c r="G102" s="90">
        <v>1585913.05</v>
      </c>
      <c r="H102" s="90">
        <v>475673.27</v>
      </c>
      <c r="I102" s="90">
        <v>124383.15</v>
      </c>
      <c r="J102" s="90">
        <v>134365.9</v>
      </c>
      <c r="K102" s="90">
        <v>22021.03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-308787.96999999997</v>
      </c>
      <c r="G104" s="90">
        <v>1585913.05</v>
      </c>
      <c r="H104" s="90">
        <v>475673.27</v>
      </c>
      <c r="I104" s="90">
        <v>124383.15</v>
      </c>
      <c r="J104" s="90">
        <v>134365.9</v>
      </c>
      <c r="K104" s="90">
        <v>22021.03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3672536.66</v>
      </c>
      <c r="G108" s="90">
        <v>3844069.75</v>
      </c>
      <c r="H108" s="90">
        <v>3755334.15</v>
      </c>
      <c r="I108" s="90">
        <v>2990312.8</v>
      </c>
      <c r="J108" s="90">
        <v>2605330.35</v>
      </c>
      <c r="K108" s="90">
        <v>1308043.1399999999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3672536.66</v>
      </c>
      <c r="G110" s="90">
        <v>3844069.75</v>
      </c>
      <c r="H110" s="90">
        <v>3755334.15</v>
      </c>
      <c r="I110" s="90">
        <v>2990312.8</v>
      </c>
      <c r="J110" s="90">
        <v>2605330.35</v>
      </c>
      <c r="K110" s="90">
        <v>1308043.1399999999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1829602.74</v>
      </c>
      <c r="G114" s="90">
        <v>4830176.92</v>
      </c>
      <c r="H114" s="90">
        <v>1051277.1599999999</v>
      </c>
      <c r="I114" s="90">
        <v>1894655.15</v>
      </c>
      <c r="J114" s="90">
        <v>1553170.03</v>
      </c>
      <c r="K114" s="90">
        <v>834221.81</v>
      </c>
    </row>
    <row r="115" spans="5:11" x14ac:dyDescent="0.3">
      <c r="E115" s="8" t="s">
        <v>34</v>
      </c>
      <c r="F115" s="90">
        <v>3666.19</v>
      </c>
      <c r="G115" s="90">
        <v>28486.38</v>
      </c>
      <c r="H115" s="90">
        <v>7348.23</v>
      </c>
      <c r="I115" s="90">
        <v>3552.53</v>
      </c>
      <c r="J115" s="90">
        <v>4795.51</v>
      </c>
      <c r="K115" s="90">
        <v>4501.0600000000004</v>
      </c>
    </row>
    <row r="116" spans="5:11" ht="15" customHeight="1" x14ac:dyDescent="0.3">
      <c r="E116" s="8" t="s">
        <v>35</v>
      </c>
      <c r="F116" s="90">
        <v>339915.19</v>
      </c>
      <c r="G116" s="90">
        <v>624513.77</v>
      </c>
      <c r="H116" s="90">
        <v>155401.76999999999</v>
      </c>
      <c r="I116" s="90">
        <v>240201.7</v>
      </c>
      <c r="J116" s="90">
        <v>227642.07</v>
      </c>
      <c r="K116" s="90">
        <v>206232.31</v>
      </c>
    </row>
    <row r="117" spans="5:11" ht="15" customHeight="1" x14ac:dyDescent="0.3">
      <c r="E117" s="8" t="s">
        <v>36</v>
      </c>
      <c r="F117" s="90">
        <v>1486021.36</v>
      </c>
      <c r="G117" s="90">
        <v>3850874.69</v>
      </c>
      <c r="H117" s="90">
        <v>888527.16</v>
      </c>
      <c r="I117" s="90">
        <v>1650900.92</v>
      </c>
      <c r="J117" s="90">
        <v>1317225.45</v>
      </c>
      <c r="K117" s="90">
        <v>619690.43999999994</v>
      </c>
    </row>
    <row r="118" spans="5:11" ht="15" customHeight="1" x14ac:dyDescent="0.3">
      <c r="E118" s="8" t="s">
        <v>37</v>
      </c>
      <c r="F118" s="107">
        <v>0</v>
      </c>
      <c r="G118" s="90">
        <v>326302.08000000002</v>
      </c>
      <c r="H118" s="107">
        <v>0</v>
      </c>
      <c r="I118" s="107">
        <v>0</v>
      </c>
      <c r="J118" s="90">
        <v>3507</v>
      </c>
      <c r="K118" s="90">
        <v>3798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5502139.4000000004</v>
      </c>
      <c r="G120" s="90">
        <v>8674246.6699999999</v>
      </c>
      <c r="H120" s="90">
        <v>4806611.3099999996</v>
      </c>
      <c r="I120" s="90">
        <v>4884967.95</v>
      </c>
      <c r="J120" s="90">
        <v>4158500.38</v>
      </c>
      <c r="K120" s="90">
        <v>2142264.9500000002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2348264.5699999998</v>
      </c>
      <c r="G122" s="90">
        <v>2657052.54</v>
      </c>
      <c r="H122" s="90">
        <v>1071139.5</v>
      </c>
      <c r="I122" s="90">
        <v>595466.23</v>
      </c>
      <c r="J122" s="90">
        <v>471083.08</v>
      </c>
      <c r="K122" s="90">
        <v>336717.18</v>
      </c>
    </row>
    <row r="123" spans="5:11" x14ac:dyDescent="0.3">
      <c r="E123" s="8" t="s">
        <v>42</v>
      </c>
      <c r="F123" s="90">
        <v>2657052.54</v>
      </c>
      <c r="G123" s="90">
        <v>1071139.49</v>
      </c>
      <c r="H123" s="90">
        <v>595466.23</v>
      </c>
      <c r="I123" s="90">
        <v>471083.08</v>
      </c>
      <c r="J123" s="90">
        <v>336717.18</v>
      </c>
      <c r="K123" s="90">
        <v>314696.15000000002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-308787.96999999997</v>
      </c>
      <c r="G126" s="90">
        <v>1585913.05</v>
      </c>
      <c r="H126" s="90">
        <v>475673.27</v>
      </c>
      <c r="I126" s="90">
        <v>124383.15</v>
      </c>
      <c r="J126" s="90">
        <v>134365.9</v>
      </c>
      <c r="K126" s="90">
        <v>22021.03</v>
      </c>
    </row>
    <row r="127" spans="5:11" ht="15" customHeight="1" x14ac:dyDescent="0.3">
      <c r="E127" s="18" t="s">
        <v>91</v>
      </c>
      <c r="F127" s="90">
        <v>3153874.83</v>
      </c>
      <c r="G127" s="90">
        <v>6017194.1299999999</v>
      </c>
      <c r="H127" s="90">
        <v>3735471.81</v>
      </c>
      <c r="I127" s="90">
        <v>4289501.72</v>
      </c>
      <c r="J127" s="90">
        <v>3687417.3</v>
      </c>
      <c r="K127" s="90">
        <v>1805547.77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90">
        <v>147946.43</v>
      </c>
      <c r="J128" s="107">
        <v>0</v>
      </c>
      <c r="K128" s="90">
        <v>26738.67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90">
        <v>43538.36</v>
      </c>
      <c r="I129" s="90">
        <v>26050.49</v>
      </c>
      <c r="J129" s="90">
        <v>109430.22</v>
      </c>
      <c r="K129" s="90">
        <v>78546.320000000007</v>
      </c>
    </row>
    <row r="130" spans="5:11" ht="15" customHeight="1" x14ac:dyDescent="0.3">
      <c r="E130" s="17" t="s">
        <v>90</v>
      </c>
      <c r="F130" s="90">
        <v>474603.8</v>
      </c>
      <c r="G130" s="90">
        <v>349772.68</v>
      </c>
      <c r="H130" s="90">
        <v>584188.57999999996</v>
      </c>
      <c r="I130" s="90">
        <v>416269.78</v>
      </c>
      <c r="J130" s="90">
        <v>1102272.9099999999</v>
      </c>
      <c r="K130" s="90">
        <v>397371.89</v>
      </c>
    </row>
    <row r="131" spans="5:11" ht="15" customHeight="1" x14ac:dyDescent="0.3">
      <c r="E131" s="17" t="s">
        <v>88</v>
      </c>
      <c r="F131" s="90">
        <v>2679271.0299999998</v>
      </c>
      <c r="G131" s="90">
        <v>5667421.4500000002</v>
      </c>
      <c r="H131" s="90">
        <v>3107744.87</v>
      </c>
      <c r="I131" s="90">
        <v>3699235.02</v>
      </c>
      <c r="J131" s="90">
        <v>2475714.17</v>
      </c>
      <c r="K131" s="90">
        <v>1302890.8899999999</v>
      </c>
    </row>
    <row r="132" spans="5:11" x14ac:dyDescent="0.3">
      <c r="E132" s="7" t="s">
        <v>47</v>
      </c>
      <c r="F132" s="90">
        <v>5502139.4000000004</v>
      </c>
      <c r="G132" s="90">
        <v>8674246.6699999999</v>
      </c>
      <c r="H132" s="90">
        <v>4806611.3099999996</v>
      </c>
      <c r="I132" s="90">
        <v>4884967.95</v>
      </c>
      <c r="J132" s="90">
        <v>4158500.38</v>
      </c>
      <c r="K132" s="90">
        <v>2142264.9500000002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50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04E9B-0EC7-411F-9F96-1658760C8565}">
  <sheetPr>
    <tabColor theme="5" tint="0.79998168889431442"/>
  </sheetPr>
  <dimension ref="A1:L177"/>
  <sheetViews>
    <sheetView topLeftCell="A160" workbookViewId="0">
      <selection sqref="A1:L19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417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0.56588742192491792</v>
      </c>
      <c r="B4" s="139">
        <f>MAX(F4:K4)</f>
        <v>1.3180177274278086</v>
      </c>
      <c r="C4" s="155">
        <f>AVERAGE(F4:K4)</f>
        <v>0.86517465524210235</v>
      </c>
      <c r="D4" s="156">
        <f>MEDIAN(F4:K4)</f>
        <v>0.81086014947284379</v>
      </c>
      <c r="E4" s="47" t="s">
        <v>364</v>
      </c>
      <c r="F4" s="71">
        <f>SUM(F9:F12)/SUM(F13:F15)</f>
        <v>1.3180177274278086</v>
      </c>
      <c r="G4" s="71">
        <f t="shared" ref="G4:K4" si="0">SUM(G9:G12)/SUM(G13:G15)</f>
        <v>1.0551265169035777</v>
      </c>
      <c r="H4" s="71">
        <f t="shared" si="0"/>
        <v>0.84985651774269821</v>
      </c>
      <c r="I4" s="71">
        <f t="shared" si="0"/>
        <v>0.56588742192491792</v>
      </c>
      <c r="J4" s="71">
        <f t="shared" si="0"/>
        <v>0.63029596625062179</v>
      </c>
      <c r="K4" s="71">
        <f t="shared" si="0"/>
        <v>0.77186378120298937</v>
      </c>
    </row>
    <row r="5" spans="1:11" s="43" customFormat="1" ht="13.2" x14ac:dyDescent="0.25">
      <c r="A5" s="139">
        <f t="shared" ref="A5:A7" si="1">MIN(F5:K5)</f>
        <v>1.3976861483463419</v>
      </c>
      <c r="B5" s="139">
        <f t="shared" ref="B5:B7" si="2">MAX(F5:K5)</f>
        <v>3.2279788809911101</v>
      </c>
      <c r="C5" s="155">
        <f t="shared" ref="C5:C7" si="3">AVERAGEIF(F5:K5,"&gt;0")</f>
        <v>2.1197619099046094</v>
      </c>
      <c r="D5" s="156">
        <f t="shared" ref="D5:D7" si="4">_xlfn.AGGREGATE(12,6,F5:K5)</f>
        <v>1.9604287861424772</v>
      </c>
      <c r="E5" s="47" t="s">
        <v>363</v>
      </c>
      <c r="F5" s="71">
        <f t="shared" ref="F5:K5" si="5">SUM(F9:F12)/F14</f>
        <v>3.2279788809911101</v>
      </c>
      <c r="G5" s="71">
        <f t="shared" si="5"/>
        <v>2.6015402219547754</v>
      </c>
      <c r="H5" s="71">
        <f t="shared" si="5"/>
        <v>2.017443029910984</v>
      </c>
      <c r="I5" s="71">
        <f t="shared" si="5"/>
        <v>1.3976861483463419</v>
      </c>
      <c r="J5" s="71">
        <f t="shared" si="5"/>
        <v>1.5705086358504758</v>
      </c>
      <c r="K5" s="71">
        <f t="shared" si="5"/>
        <v>1.9034145423739701</v>
      </c>
    </row>
    <row r="6" spans="1:11" s="43" customFormat="1" ht="13.2" x14ac:dyDescent="0.25">
      <c r="A6" s="139">
        <f t="shared" si="1"/>
        <v>1.252512602836535</v>
      </c>
      <c r="B6" s="139">
        <f t="shared" si="2"/>
        <v>3.0562828512024001</v>
      </c>
      <c r="C6" s="155">
        <f t="shared" si="3"/>
        <v>1.9597745891602756</v>
      </c>
      <c r="D6" s="156">
        <f t="shared" si="4"/>
        <v>1.8028927360743237</v>
      </c>
      <c r="E6" s="47" t="s">
        <v>365</v>
      </c>
      <c r="F6" s="71">
        <f t="shared" ref="F6:K6" si="6">SUM(F10:F11)/F14</f>
        <v>3.0562828512024001</v>
      </c>
      <c r="G6" s="71">
        <f t="shared" si="6"/>
        <v>2.4348160137636015</v>
      </c>
      <c r="H6" s="71">
        <f t="shared" si="6"/>
        <v>1.8552619974437885</v>
      </c>
      <c r="I6" s="71">
        <f t="shared" si="6"/>
        <v>1.252512602836535</v>
      </c>
      <c r="J6" s="71">
        <f t="shared" si="6"/>
        <v>1.4092505950104668</v>
      </c>
      <c r="K6" s="71">
        <f t="shared" si="6"/>
        <v>1.750523474704859</v>
      </c>
    </row>
    <row r="7" spans="1:11" s="43" customFormat="1" ht="13.8" thickBot="1" x14ac:dyDescent="0.3">
      <c r="A7" s="139">
        <f t="shared" si="1"/>
        <v>0.95733765942255844</v>
      </c>
      <c r="B7" s="139">
        <f t="shared" si="2"/>
        <v>2.5043995729602839</v>
      </c>
      <c r="C7" s="155">
        <f t="shared" si="3"/>
        <v>1.5776097569632197</v>
      </c>
      <c r="D7" s="156">
        <f t="shared" si="4"/>
        <v>1.4974813287691267</v>
      </c>
      <c r="E7" s="49" t="s">
        <v>366</v>
      </c>
      <c r="F7" s="73">
        <f t="shared" ref="F7:K7" si="7">F11/F14</f>
        <v>2.5043995729602839</v>
      </c>
      <c r="G7" s="73">
        <f t="shared" si="7"/>
        <v>1.9544373342316204</v>
      </c>
      <c r="H7" s="73">
        <f t="shared" si="7"/>
        <v>1.5530690705500509</v>
      </c>
      <c r="I7" s="73">
        <f t="shared" si="7"/>
        <v>0.95733765942255844</v>
      </c>
      <c r="J7" s="73">
        <f t="shared" si="7"/>
        <v>1.0545213176266024</v>
      </c>
      <c r="K7" s="73">
        <f t="shared" si="7"/>
        <v>1.4418935869882021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434598</v>
      </c>
      <c r="G9" s="76">
        <f t="shared" ref="G9:K12" si="8">G115</f>
        <v>456548.1</v>
      </c>
      <c r="H9" s="76">
        <f t="shared" si="8"/>
        <v>510154.42</v>
      </c>
      <c r="I9" s="76">
        <f t="shared" si="8"/>
        <v>375358.51</v>
      </c>
      <c r="J9" s="76">
        <f t="shared" si="8"/>
        <v>406546.76</v>
      </c>
      <c r="K9" s="76">
        <f t="shared" si="8"/>
        <v>371136.87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2627319.7400000002</v>
      </c>
      <c r="G10" s="76">
        <f t="shared" si="8"/>
        <v>2283547.09</v>
      </c>
      <c r="H10" s="76">
        <f t="shared" si="8"/>
        <v>1495575.23</v>
      </c>
      <c r="I10" s="76">
        <f t="shared" si="8"/>
        <v>1445675.1</v>
      </c>
      <c r="J10" s="76">
        <f t="shared" si="8"/>
        <v>1706322.14</v>
      </c>
      <c r="K10" s="76">
        <f t="shared" si="8"/>
        <v>1575751.1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11922554.449999999</v>
      </c>
      <c r="G11" s="76">
        <f t="shared" si="8"/>
        <v>9290690.6099999994</v>
      </c>
      <c r="H11" s="76">
        <f t="shared" si="8"/>
        <v>7686254.1299999999</v>
      </c>
      <c r="I11" s="76">
        <f t="shared" si="8"/>
        <v>4688742.21</v>
      </c>
      <c r="J11" s="76">
        <f t="shared" si="8"/>
        <v>5072468.46</v>
      </c>
      <c r="K11" s="76">
        <f t="shared" si="8"/>
        <v>7361780.2300000004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382785.65</v>
      </c>
      <c r="G12" s="76">
        <f t="shared" si="8"/>
        <v>335998.69</v>
      </c>
      <c r="H12" s="76">
        <f t="shared" si="8"/>
        <v>292491.55</v>
      </c>
      <c r="I12" s="76">
        <f t="shared" si="8"/>
        <v>335656.38</v>
      </c>
      <c r="J12" s="76">
        <f t="shared" si="8"/>
        <v>369138.2</v>
      </c>
      <c r="K12" s="76">
        <f t="shared" si="8"/>
        <v>409468.89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38253.85</v>
      </c>
      <c r="G13" s="76">
        <f t="shared" ref="G13:K13" si="9">G128</f>
        <v>38253.85</v>
      </c>
      <c r="H13" s="76">
        <f t="shared" si="9"/>
        <v>38253.85</v>
      </c>
      <c r="I13" s="76">
        <f t="shared" si="9"/>
        <v>38253.85</v>
      </c>
      <c r="J13" s="76">
        <f t="shared" si="9"/>
        <v>38253.85</v>
      </c>
      <c r="K13" s="76">
        <f t="shared" si="9"/>
        <v>38253.85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4760643.8600000003</v>
      </c>
      <c r="G14" s="76">
        <f t="shared" ref="G14:K15" si="10">G130</f>
        <v>4753639.55</v>
      </c>
      <c r="H14" s="76">
        <f t="shared" si="10"/>
        <v>4949074.24</v>
      </c>
      <c r="I14" s="76">
        <f t="shared" si="10"/>
        <v>4897689.09</v>
      </c>
      <c r="J14" s="76">
        <f t="shared" si="10"/>
        <v>4810209.5</v>
      </c>
      <c r="K14" s="76">
        <f t="shared" si="10"/>
        <v>5105633.5199999996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6860473.4199999999</v>
      </c>
      <c r="G15" s="76">
        <f t="shared" si="10"/>
        <v>6928771.6500000004</v>
      </c>
      <c r="H15" s="76">
        <f t="shared" si="10"/>
        <v>6761096.6399999997</v>
      </c>
      <c r="I15" s="76">
        <f t="shared" si="10"/>
        <v>7160866.3099999996</v>
      </c>
      <c r="J15" s="76">
        <f t="shared" si="10"/>
        <v>7137137.0099999998</v>
      </c>
      <c r="K15" s="76">
        <f t="shared" si="10"/>
        <v>7446594.6900000004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17.805505085917513</v>
      </c>
      <c r="B19" s="152">
        <f t="shared" ref="B19:B25" si="12">MAX(F19:K19)</f>
        <v>23.153931874220689</v>
      </c>
      <c r="C19" s="156">
        <f>AVERAGE(F19:K19)</f>
        <v>20.473116619538278</v>
      </c>
      <c r="D19" s="156">
        <f>MEDIAN(F19:K19)</f>
        <v>20.480841670343864</v>
      </c>
      <c r="E19" s="47" t="s">
        <v>293</v>
      </c>
      <c r="F19" s="71">
        <f>F28/(F27/365)</f>
        <v>23.031432986966916</v>
      </c>
      <c r="G19" s="71">
        <f t="shared" ref="G19:K19" si="13">G28/(G27/365)</f>
        <v>23.153931874220689</v>
      </c>
      <c r="H19" s="71">
        <f t="shared" si="13"/>
        <v>17.805505085917513</v>
      </c>
      <c r="I19" s="71">
        <f t="shared" si="13"/>
        <v>17.886146429436803</v>
      </c>
      <c r="J19" s="71">
        <f t="shared" si="13"/>
        <v>20.484461029438997</v>
      </c>
      <c r="K19" s="71">
        <f t="shared" si="13"/>
        <v>20.477222311248735</v>
      </c>
    </row>
    <row r="20" spans="1:11" s="43" customFormat="1" ht="13.2" x14ac:dyDescent="0.25">
      <c r="A20" s="152">
        <f t="shared" si="11"/>
        <v>3.8097436565790224</v>
      </c>
      <c r="B20" s="152">
        <f t="shared" si="12"/>
        <v>6.0736209972622373</v>
      </c>
      <c r="C20" s="156">
        <f t="shared" ref="C20:C25" si="14">AVERAGE(F20:K20)</f>
        <v>4.8100214657977522</v>
      </c>
      <c r="D20" s="156">
        <f t="shared" ref="D20:D25" si="15">MEDIAN(F20:K20)</f>
        <v>4.73350220159932</v>
      </c>
      <c r="E20" s="121" t="s">
        <v>367</v>
      </c>
      <c r="F20" s="71">
        <f>F29/(F27/365)</f>
        <v>3.8097436565790224</v>
      </c>
      <c r="G20" s="71">
        <f t="shared" ref="G20:K20" si="16">G29/(G27/365)</f>
        <v>4.6291506976126753</v>
      </c>
      <c r="H20" s="71">
        <f t="shared" si="16"/>
        <v>6.0736209972622373</v>
      </c>
      <c r="I20" s="71">
        <f t="shared" si="16"/>
        <v>4.6440014588306999</v>
      </c>
      <c r="J20" s="71">
        <f t="shared" si="16"/>
        <v>4.8806090401339395</v>
      </c>
      <c r="K20" s="71">
        <f t="shared" si="16"/>
        <v>4.8230029443679401</v>
      </c>
    </row>
    <row r="21" spans="1:11" s="43" customFormat="1" ht="13.2" x14ac:dyDescent="0.25">
      <c r="A21" s="152">
        <f t="shared" si="11"/>
        <v>41.732434909656448</v>
      </c>
      <c r="B21" s="152">
        <f t="shared" si="12"/>
        <v>66.34879875940014</v>
      </c>
      <c r="C21" s="156">
        <f t="shared" si="14"/>
        <v>55.590561179116328</v>
      </c>
      <c r="D21" s="156">
        <f t="shared" si="15"/>
        <v>58.333865151881234</v>
      </c>
      <c r="E21" s="47" t="s">
        <v>368</v>
      </c>
      <c r="F21" s="71">
        <f>F30/(F27/365)</f>
        <v>41.732434909656448</v>
      </c>
      <c r="G21" s="71">
        <f t="shared" ref="G21:K21" si="17">G30/(G27/365)</f>
        <v>48.1993328612729</v>
      </c>
      <c r="H21" s="71">
        <f t="shared" si="17"/>
        <v>58.920985573492928</v>
      </c>
      <c r="I21" s="71">
        <f t="shared" si="17"/>
        <v>60.595070240605978</v>
      </c>
      <c r="J21" s="71">
        <f t="shared" si="17"/>
        <v>57.74674473026954</v>
      </c>
      <c r="K21" s="71">
        <f t="shared" si="17"/>
        <v>66.34879875940014</v>
      </c>
    </row>
    <row r="22" spans="1:11" s="43" customFormat="1" ht="13.2" x14ac:dyDescent="0.25">
      <c r="A22" s="152">
        <f t="shared" si="11"/>
        <v>-41.048573503783466</v>
      </c>
      <c r="B22" s="152">
        <f t="shared" si="12"/>
        <v>-14.891258266110508</v>
      </c>
      <c r="C22" s="156">
        <f t="shared" si="14"/>
        <v>-30.307423093780297</v>
      </c>
      <c r="D22" s="156">
        <f t="shared" si="15"/>
        <v>-33.711767075504895</v>
      </c>
      <c r="E22" s="47" t="s">
        <v>294</v>
      </c>
      <c r="F22" s="71">
        <f>F19+F20-F21</f>
        <v>-14.891258266110508</v>
      </c>
      <c r="G22" s="71">
        <f t="shared" ref="G22:K22" si="18">G19+G20-G21</f>
        <v>-20.416250289439535</v>
      </c>
      <c r="H22" s="71">
        <f t="shared" si="18"/>
        <v>-35.041859490313179</v>
      </c>
      <c r="I22" s="71">
        <f t="shared" si="18"/>
        <v>-38.064922352338471</v>
      </c>
      <c r="J22" s="71">
        <f t="shared" si="18"/>
        <v>-32.381674660696603</v>
      </c>
      <c r="K22" s="71">
        <f t="shared" si="18"/>
        <v>-41.048573503783466</v>
      </c>
    </row>
    <row r="23" spans="1:11" s="43" customFormat="1" ht="13.2" x14ac:dyDescent="0.25">
      <c r="A23" s="152">
        <f t="shared" si="11"/>
        <v>0.92504224112630429</v>
      </c>
      <c r="B23" s="152">
        <f t="shared" si="12"/>
        <v>1.2431849048707515</v>
      </c>
      <c r="C23" s="156">
        <f t="shared" si="14"/>
        <v>1.0910291077686824</v>
      </c>
      <c r="D23" s="156">
        <f t="shared" si="15"/>
        <v>1.0680221532447218</v>
      </c>
      <c r="E23" s="47" t="s">
        <v>295</v>
      </c>
      <c r="F23" s="71">
        <f>F27/F31</f>
        <v>1.2431849048707515</v>
      </c>
      <c r="G23" s="71">
        <f t="shared" ref="G23:K23" si="19">G27/G31</f>
        <v>1.1901465573453658</v>
      </c>
      <c r="H23" s="71">
        <f t="shared" si="19"/>
        <v>1.0517566367802302</v>
      </c>
      <c r="I23" s="71">
        <f t="shared" si="19"/>
        <v>1.0762481978658851</v>
      </c>
      <c r="J23" s="71">
        <f t="shared" si="19"/>
        <v>1.0597961086235583</v>
      </c>
      <c r="K23" s="71">
        <f t="shared" si="19"/>
        <v>0.92504224112630429</v>
      </c>
    </row>
    <row r="24" spans="1:11" s="43" customFormat="1" ht="13.2" x14ac:dyDescent="0.25">
      <c r="A24" s="152">
        <f t="shared" si="11"/>
        <v>1.3604818041399118</v>
      </c>
      <c r="B24" s="152">
        <f t="shared" si="12"/>
        <v>2.2971966365017225</v>
      </c>
      <c r="C24" s="156">
        <f t="shared" si="14"/>
        <v>1.6906329150896557</v>
      </c>
      <c r="D24" s="156">
        <f t="shared" si="15"/>
        <v>1.5191602595067275</v>
      </c>
      <c r="E24" s="121" t="s">
        <v>369</v>
      </c>
      <c r="F24" s="71">
        <f>F27/F32</f>
        <v>2.2971966365017225</v>
      </c>
      <c r="G24" s="71">
        <f t="shared" ref="G24:K24" si="20">G27/G32</f>
        <v>2.0133219534724724</v>
      </c>
      <c r="H24" s="71">
        <f t="shared" si="20"/>
        <v>1.5996933848693036</v>
      </c>
      <c r="I24" s="71">
        <f t="shared" si="20"/>
        <v>1.434476577410374</v>
      </c>
      <c r="J24" s="71">
        <f t="shared" si="20"/>
        <v>1.4386271341441512</v>
      </c>
      <c r="K24" s="71">
        <f t="shared" si="20"/>
        <v>1.3604818041399118</v>
      </c>
    </row>
    <row r="25" spans="1:11" s="43" customFormat="1" ht="13.8" thickBot="1" x14ac:dyDescent="0.3">
      <c r="A25" s="152">
        <f t="shared" si="11"/>
        <v>2.7094956311346698</v>
      </c>
      <c r="B25" s="152">
        <f t="shared" si="12"/>
        <v>4.3096887892630065</v>
      </c>
      <c r="C25" s="156">
        <f t="shared" si="14"/>
        <v>3.3192406672290264</v>
      </c>
      <c r="D25" s="156">
        <f t="shared" si="15"/>
        <v>2.9907240333152734</v>
      </c>
      <c r="E25" s="49" t="s">
        <v>296</v>
      </c>
      <c r="F25" s="73">
        <f>F27/F33</f>
        <v>2.7094956311346698</v>
      </c>
      <c r="G25" s="73">
        <f t="shared" ref="G25:K25" si="21">G27/G33</f>
        <v>2.9108598277190487</v>
      </c>
      <c r="H25" s="73">
        <f t="shared" si="21"/>
        <v>3.070588238911498</v>
      </c>
      <c r="I25" s="73">
        <f t="shared" si="21"/>
        <v>4.3096887892630065</v>
      </c>
      <c r="J25" s="73">
        <f t="shared" si="21"/>
        <v>4.0246213636569106</v>
      </c>
      <c r="K25" s="73">
        <f t="shared" si="21"/>
        <v>2.8901901526890272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41637517.980000004</v>
      </c>
      <c r="G27" s="76">
        <f t="shared" ref="G27:K27" si="22">G93+G86</f>
        <v>35997976.170000002</v>
      </c>
      <c r="H27" s="76">
        <f t="shared" si="22"/>
        <v>30658212.52</v>
      </c>
      <c r="I27" s="76">
        <f t="shared" si="22"/>
        <v>29501682.41</v>
      </c>
      <c r="J27" s="76">
        <f t="shared" si="22"/>
        <v>30403903.73</v>
      </c>
      <c r="K27" s="76">
        <f t="shared" si="22"/>
        <v>28087264.119999997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2627319.7400000002</v>
      </c>
      <c r="G28" s="76">
        <f t="shared" ref="G28:K28" si="23">G116</f>
        <v>2283547.09</v>
      </c>
      <c r="H28" s="76">
        <f t="shared" si="23"/>
        <v>1495575.23</v>
      </c>
      <c r="I28" s="76">
        <f t="shared" si="23"/>
        <v>1445675.1</v>
      </c>
      <c r="J28" s="76">
        <f t="shared" si="23"/>
        <v>1706322.14</v>
      </c>
      <c r="K28" s="76">
        <f t="shared" si="23"/>
        <v>1575751.1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434598</v>
      </c>
      <c r="G29" s="76">
        <f t="shared" ref="G29:K29" si="24">G115</f>
        <v>456548.1</v>
      </c>
      <c r="H29" s="76">
        <f t="shared" si="24"/>
        <v>510154.42</v>
      </c>
      <c r="I29" s="76">
        <f t="shared" si="24"/>
        <v>375358.51</v>
      </c>
      <c r="J29" s="76">
        <f t="shared" si="24"/>
        <v>406546.76</v>
      </c>
      <c r="K29" s="76">
        <f t="shared" si="24"/>
        <v>371136.87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4760643.8600000003</v>
      </c>
      <c r="G30" s="76">
        <f t="shared" ref="G30:K30" si="25">G130</f>
        <v>4753639.55</v>
      </c>
      <c r="H30" s="76">
        <f t="shared" si="25"/>
        <v>4949074.24</v>
      </c>
      <c r="I30" s="76">
        <f t="shared" si="25"/>
        <v>4897689.09</v>
      </c>
      <c r="J30" s="76">
        <f t="shared" si="25"/>
        <v>4810209.5</v>
      </c>
      <c r="K30" s="76">
        <f t="shared" si="25"/>
        <v>5105633.5199999996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33492618.690000001</v>
      </c>
      <c r="G31" s="76">
        <f t="shared" ref="G31:K31" si="26">G120</f>
        <v>30246675.039999999</v>
      </c>
      <c r="H31" s="76">
        <f t="shared" si="26"/>
        <v>29149530.84</v>
      </c>
      <c r="I31" s="76">
        <f t="shared" si="26"/>
        <v>27411597.5</v>
      </c>
      <c r="J31" s="76">
        <f t="shared" si="26"/>
        <v>28688446.280000001</v>
      </c>
      <c r="K31" s="76">
        <f t="shared" si="26"/>
        <v>30363223.289999999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18125360.850000001</v>
      </c>
      <c r="G32" s="76">
        <f t="shared" ref="G32:K32" si="27">G108</f>
        <v>17879890.550000001</v>
      </c>
      <c r="H32" s="76">
        <f t="shared" si="27"/>
        <v>19165055.510000002</v>
      </c>
      <c r="I32" s="76">
        <f t="shared" si="27"/>
        <v>20566165.300000001</v>
      </c>
      <c r="J32" s="76">
        <f t="shared" si="27"/>
        <v>21133970.719999999</v>
      </c>
      <c r="K32" s="76">
        <f t="shared" si="27"/>
        <v>20645086.199999999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15367257.84</v>
      </c>
      <c r="G33" s="76">
        <f t="shared" ref="G33:K33" si="28">G114</f>
        <v>12366784.49</v>
      </c>
      <c r="H33" s="76">
        <f t="shared" si="28"/>
        <v>9984475.3300000001</v>
      </c>
      <c r="I33" s="76">
        <f t="shared" si="28"/>
        <v>6845432.2000000002</v>
      </c>
      <c r="J33" s="76">
        <f t="shared" si="28"/>
        <v>7554475.5599999996</v>
      </c>
      <c r="K33" s="76">
        <f t="shared" si="28"/>
        <v>9718137.0899999999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0.15716238375667754</v>
      </c>
      <c r="B37" s="139">
        <f t="shared" ref="B37:B41" si="30">MAX(F37:K37)</f>
        <v>0.1786721510849559</v>
      </c>
      <c r="C37" s="160">
        <f t="shared" ref="C37:C41" si="31">AVERAGE(F37:K37)</f>
        <v>0.16782634791521142</v>
      </c>
      <c r="D37" s="160">
        <f t="shared" ref="D37:D41" si="32">MEDIAN(F37:K37)</f>
        <v>0.16862104909415801</v>
      </c>
      <c r="E37" s="47" t="s">
        <v>370</v>
      </c>
      <c r="F37" s="119">
        <f>F43/F44*100%</f>
        <v>0.16409915960500848</v>
      </c>
      <c r="G37" s="119">
        <f t="shared" ref="G37:K37" si="33">G43/G44*100%</f>
        <v>0.15716238375667754</v>
      </c>
      <c r="H37" s="119">
        <f t="shared" si="33"/>
        <v>0.16978229485631063</v>
      </c>
      <c r="I37" s="119">
        <f t="shared" si="33"/>
        <v>0.1786721510849559</v>
      </c>
      <c r="J37" s="119">
        <f t="shared" si="33"/>
        <v>0.16794947530354717</v>
      </c>
      <c r="K37" s="119">
        <f t="shared" si="33"/>
        <v>0.16929262288476885</v>
      </c>
    </row>
    <row r="38" spans="1:11" s="43" customFormat="1" ht="13.2" x14ac:dyDescent="0.25">
      <c r="A38" s="139">
        <f t="shared" si="29"/>
        <v>0.25659273381402298</v>
      </c>
      <c r="B38" s="139">
        <f t="shared" si="30"/>
        <v>0.31980129336753971</v>
      </c>
      <c r="C38" s="155">
        <f t="shared" si="31"/>
        <v>0.28328392356867571</v>
      </c>
      <c r="D38" s="156">
        <f t="shared" si="32"/>
        <v>0.28650804218540554</v>
      </c>
      <c r="E38" s="50" t="s">
        <v>298</v>
      </c>
      <c r="F38" s="122">
        <f>F43/F45</f>
        <v>0.2605065727851214</v>
      </c>
      <c r="G38" s="122">
        <f t="shared" ref="G38:K38" si="34">G43/G45</f>
        <v>0.25659273381402298</v>
      </c>
      <c r="H38" s="122">
        <f t="shared" si="34"/>
        <v>0.28441147411634282</v>
      </c>
      <c r="I38" s="122">
        <f t="shared" si="34"/>
        <v>0.31980129336753971</v>
      </c>
      <c r="J38" s="122">
        <f t="shared" si="34"/>
        <v>0.28860461025446826</v>
      </c>
      <c r="K38" s="122">
        <f t="shared" si="34"/>
        <v>0.28978685707455931</v>
      </c>
    </row>
    <row r="39" spans="1:11" s="43" customFormat="1" ht="13.2" x14ac:dyDescent="0.25">
      <c r="A39" s="139">
        <f t="shared" si="29"/>
        <v>1.5874948623269518</v>
      </c>
      <c r="B39" s="139">
        <f t="shared" si="30"/>
        <v>1.7898776693827287</v>
      </c>
      <c r="C39" s="155">
        <f t="shared" si="31"/>
        <v>1.6858898388554919</v>
      </c>
      <c r="D39" s="156">
        <f t="shared" si="32"/>
        <v>1.6934525719593969</v>
      </c>
      <c r="E39" s="50" t="s">
        <v>299</v>
      </c>
      <c r="F39" s="122">
        <f>F44/F45</f>
        <v>1.5874948623269518</v>
      </c>
      <c r="G39" s="122">
        <f t="shared" ref="G39:K39" si="35">G44/G45</f>
        <v>1.6326599767746321</v>
      </c>
      <c r="H39" s="122">
        <f t="shared" si="35"/>
        <v>1.6751539043399351</v>
      </c>
      <c r="I39" s="122">
        <f t="shared" si="35"/>
        <v>1.7898776693827287</v>
      </c>
      <c r="J39" s="122">
        <f t="shared" si="35"/>
        <v>1.7184013807298439</v>
      </c>
      <c r="K39" s="122">
        <f t="shared" si="35"/>
        <v>1.7117512395788588</v>
      </c>
    </row>
    <row r="40" spans="1:11" s="43" customFormat="1" ht="13.2" x14ac:dyDescent="0.25">
      <c r="A40" s="139">
        <f t="shared" si="29"/>
        <v>0</v>
      </c>
      <c r="B40" s="139">
        <f t="shared" si="30"/>
        <v>2.1959068856553479E-2</v>
      </c>
      <c r="C40" s="160">
        <f t="shared" si="31"/>
        <v>3.896442520605507E-3</v>
      </c>
      <c r="D40" s="160">
        <f t="shared" si="32"/>
        <v>1.3942895202339971E-4</v>
      </c>
      <c r="E40" s="77" t="s">
        <v>371</v>
      </c>
      <c r="F40" s="119">
        <f>F46/F44*100%</f>
        <v>2.1959068856553479E-2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2.7885790404679942E-4</v>
      </c>
      <c r="K40" s="119">
        <f t="shared" si="36"/>
        <v>1.1407283630327644E-3</v>
      </c>
    </row>
    <row r="41" spans="1:11" s="43" customFormat="1" ht="13.8" thickBot="1" x14ac:dyDescent="0.3">
      <c r="A41" s="139">
        <f t="shared" si="29"/>
        <v>-32.173568890104931</v>
      </c>
      <c r="B41" s="139">
        <f t="shared" si="30"/>
        <v>147.43871114013132</v>
      </c>
      <c r="C41" s="155">
        <f t="shared" si="31"/>
        <v>50.670445334624986</v>
      </c>
      <c r="D41" s="156">
        <f t="shared" si="32"/>
        <v>54.926572410660981</v>
      </c>
      <c r="E41" s="51" t="s">
        <v>300</v>
      </c>
      <c r="F41" s="123">
        <f>(F47+F48)/F48</f>
        <v>60.712907707693638</v>
      </c>
      <c r="G41" s="123">
        <f t="shared" ref="G41:K41" si="37">(G47+G48)/G48</f>
        <v>49.140237113628316</v>
      </c>
      <c r="H41" s="123">
        <f t="shared" si="37"/>
        <v>104.11868518532641</v>
      </c>
      <c r="I41" s="123">
        <f t="shared" si="37"/>
        <v>-32.173568890104931</v>
      </c>
      <c r="J41" s="123">
        <f t="shared" si="37"/>
        <v>-25.214300248924818</v>
      </c>
      <c r="K41" s="123">
        <f t="shared" si="37"/>
        <v>147.43871114013132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5496110.5800000001</v>
      </c>
      <c r="G43" s="76">
        <f t="shared" ref="G43:K43" si="38">G129+G130</f>
        <v>4753639.55</v>
      </c>
      <c r="H43" s="76">
        <f t="shared" si="38"/>
        <v>4949074.24</v>
      </c>
      <c r="I43" s="76">
        <f t="shared" si="38"/>
        <v>4897689.09</v>
      </c>
      <c r="J43" s="76">
        <f t="shared" si="38"/>
        <v>4818209.5</v>
      </c>
      <c r="K43" s="76">
        <f t="shared" si="38"/>
        <v>5140269.71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33492618.690000001</v>
      </c>
      <c r="G44" s="76">
        <f t="shared" ref="G44:K44" si="39">G120</f>
        <v>30246675.039999999</v>
      </c>
      <c r="H44" s="76">
        <f t="shared" si="39"/>
        <v>29149530.84</v>
      </c>
      <c r="I44" s="76">
        <f t="shared" si="39"/>
        <v>27411597.5</v>
      </c>
      <c r="J44" s="76">
        <f t="shared" si="39"/>
        <v>28688446.280000001</v>
      </c>
      <c r="K44" s="76">
        <f t="shared" si="39"/>
        <v>30363223.289999999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21097780.84</v>
      </c>
      <c r="G45" s="76">
        <f t="shared" ref="G45:K45" si="40">G122</f>
        <v>18526009.989999998</v>
      </c>
      <c r="H45" s="76">
        <f t="shared" si="40"/>
        <v>17401106.109999999</v>
      </c>
      <c r="I45" s="76">
        <f t="shared" si="40"/>
        <v>15314788.25</v>
      </c>
      <c r="J45" s="76">
        <f t="shared" si="40"/>
        <v>16694845.92</v>
      </c>
      <c r="K45" s="76">
        <f t="shared" si="40"/>
        <v>17738105.039999999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735466.72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8000</v>
      </c>
      <c r="K46" s="76">
        <f t="shared" si="41"/>
        <v>34636.19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2736405.5</v>
      </c>
      <c r="G47" s="76">
        <f t="shared" ref="G47:K47" si="42">G102</f>
        <v>1294128.48</v>
      </c>
      <c r="H47" s="76">
        <f t="shared" si="42"/>
        <v>2027999.09</v>
      </c>
      <c r="I47" s="76">
        <f t="shared" si="42"/>
        <v>-1300954.25</v>
      </c>
      <c r="J47" s="76">
        <f t="shared" si="42"/>
        <v>-1028037.3</v>
      </c>
      <c r="K47" s="76">
        <f t="shared" si="42"/>
        <v>3229500.76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45826.03</v>
      </c>
      <c r="G48" s="76">
        <f t="shared" ref="G48:K48" si="43">G101</f>
        <v>26882.47</v>
      </c>
      <c r="H48" s="76">
        <f t="shared" si="43"/>
        <v>19666.650000000001</v>
      </c>
      <c r="I48" s="76">
        <f t="shared" si="43"/>
        <v>39216.589999999997</v>
      </c>
      <c r="J48" s="76">
        <f t="shared" si="43"/>
        <v>39216.660000000003</v>
      </c>
      <c r="K48" s="76">
        <f t="shared" si="43"/>
        <v>22053.599999999999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-0.20407970696130434</v>
      </c>
      <c r="B52" s="139">
        <f t="shared" ref="B52:B63" si="45">MAX(F52:K52)</f>
        <v>2.7675631210104874E-3</v>
      </c>
      <c r="C52" s="160">
        <f t="shared" ref="C52:C63" si="46">AVERAGE(F52:K52)</f>
        <v>-0.10944548397413956</v>
      </c>
      <c r="D52" s="160">
        <f t="shared" ref="D52:D63" si="47">MEDIAN(F52:K52)</f>
        <v>-0.12997320575554994</v>
      </c>
      <c r="E52" s="50" t="s">
        <v>350</v>
      </c>
      <c r="F52" s="119">
        <f t="shared" ref="F52:K52" si="48">(F65/(F70+F71))*100%</f>
        <v>2.7675631210104874E-3</v>
      </c>
      <c r="G52" s="119">
        <f t="shared" si="48"/>
        <v>-3.5165448371854188E-2</v>
      </c>
      <c r="H52" s="119">
        <f t="shared" si="48"/>
        <v>-0.11619361330307329</v>
      </c>
      <c r="I52" s="119">
        <f t="shared" si="48"/>
        <v>-0.20407970696130434</v>
      </c>
      <c r="J52" s="119">
        <f t="shared" si="48"/>
        <v>-0.1602489001215894</v>
      </c>
      <c r="K52" s="120">
        <f t="shared" si="48"/>
        <v>-0.14375279820802661</v>
      </c>
    </row>
    <row r="53" spans="1:11" s="43" customFormat="1" ht="13.2" x14ac:dyDescent="0.25">
      <c r="A53" s="139">
        <f t="shared" si="44"/>
        <v>7.3116865289967636E-2</v>
      </c>
      <c r="B53" s="139">
        <f t="shared" si="45"/>
        <v>0.33254311874281878</v>
      </c>
      <c r="C53" s="160">
        <f t="shared" si="46"/>
        <v>0.20616676480902033</v>
      </c>
      <c r="D53" s="160">
        <f t="shared" si="47"/>
        <v>0.17475645274836557</v>
      </c>
      <c r="E53" s="50" t="s">
        <v>351</v>
      </c>
      <c r="F53" s="119">
        <f>(F66/F70)*100%</f>
        <v>0.33254311874281878</v>
      </c>
      <c r="G53" s="119">
        <f t="shared" ref="G53:K53" si="49">(G66/G70)*100%</f>
        <v>0.31151384645351121</v>
      </c>
      <c r="H53" s="119">
        <f t="shared" si="49"/>
        <v>0.17791615667085872</v>
      </c>
      <c r="I53" s="119">
        <f t="shared" si="49"/>
        <v>7.3116865289967636E-2</v>
      </c>
      <c r="J53" s="119">
        <f t="shared" si="49"/>
        <v>0.17159674882587242</v>
      </c>
      <c r="K53" s="120">
        <f t="shared" si="49"/>
        <v>0.1703138528710933</v>
      </c>
    </row>
    <row r="54" spans="1:11" s="43" customFormat="1" ht="13.2" x14ac:dyDescent="0.25">
      <c r="A54" s="139">
        <f t="shared" si="44"/>
        <v>2.2821112214683446E-2</v>
      </c>
      <c r="B54" s="139">
        <f t="shared" si="45"/>
        <v>6.6092983302786429E-2</v>
      </c>
      <c r="C54" s="160">
        <f t="shared" si="46"/>
        <v>4.1585405303404266E-2</v>
      </c>
      <c r="D54" s="160">
        <f t="shared" si="47"/>
        <v>4.203193793093149E-2</v>
      </c>
      <c r="E54" s="50" t="s">
        <v>342</v>
      </c>
      <c r="F54" s="119">
        <f>(F67/SUM(F72:F74))*100%</f>
        <v>2.2821112214683446E-2</v>
      </c>
      <c r="G54" s="119">
        <f t="shared" ref="G54:K54" si="50">(G67/SUM(G72:G74))*100%</f>
        <v>2.5079455470242408E-2</v>
      </c>
      <c r="H54" s="119">
        <f t="shared" si="50"/>
        <v>4.1403627877843657E-2</v>
      </c>
      <c r="I54" s="119">
        <f t="shared" si="50"/>
        <v>6.6092983302786429E-2</v>
      </c>
      <c r="J54" s="119">
        <f t="shared" si="50"/>
        <v>5.1455004970850336E-2</v>
      </c>
      <c r="K54" s="120">
        <f t="shared" si="50"/>
        <v>4.2660247984019316E-2</v>
      </c>
    </row>
    <row r="55" spans="1:11" s="43" customFormat="1" ht="13.2" x14ac:dyDescent="0.25">
      <c r="A55" s="139">
        <f t="shared" si="44"/>
        <v>6.5854602702694415E-2</v>
      </c>
      <c r="B55" s="139">
        <f t="shared" si="45"/>
        <v>0.18024876110718721</v>
      </c>
      <c r="C55" s="160">
        <f t="shared" si="46"/>
        <v>0.10130903703519768</v>
      </c>
      <c r="D55" s="160">
        <f t="shared" si="47"/>
        <v>8.6638697111331361E-2</v>
      </c>
      <c r="E55" s="50" t="s">
        <v>343</v>
      </c>
      <c r="F55" s="119">
        <f>((F72-F76)/F76)*100%</f>
        <v>6.5854602702694415E-2</v>
      </c>
      <c r="G55" s="119">
        <f t="shared" ref="G55:K57" si="51">((G72-G76)/G76)*100%</f>
        <v>7.9142186591770705E-2</v>
      </c>
      <c r="H55" s="119">
        <f t="shared" si="51"/>
        <v>8.9584901685261176E-2</v>
      </c>
      <c r="I55" s="119">
        <f t="shared" si="51"/>
        <v>0.18024876110718721</v>
      </c>
      <c r="J55" s="119">
        <f t="shared" si="51"/>
        <v>0.10933127758687113</v>
      </c>
      <c r="K55" s="120">
        <f t="shared" si="51"/>
        <v>8.3692492537401547E-2</v>
      </c>
    </row>
    <row r="56" spans="1:11" s="43" customFormat="1" ht="13.2" x14ac:dyDescent="0.25">
      <c r="A56" s="139">
        <f t="shared" si="44"/>
        <v>-2.2015919416126982E-2</v>
      </c>
      <c r="B56" s="139">
        <f t="shared" si="45"/>
        <v>-2.1322002449372227E-3</v>
      </c>
      <c r="C56" s="160">
        <f t="shared" si="46"/>
        <v>-1.0227768753677337E-2</v>
      </c>
      <c r="D56" s="160">
        <f t="shared" si="47"/>
        <v>-6.817664360697669E-3</v>
      </c>
      <c r="E56" s="50" t="s">
        <v>344</v>
      </c>
      <c r="F56" s="119">
        <f>((F73-F77)/F77)*100%</f>
        <v>-2.0057419305090123E-2</v>
      </c>
      <c r="G56" s="119">
        <f t="shared" si="51"/>
        <v>-2.2015919416126982E-2</v>
      </c>
      <c r="H56" s="119">
        <f t="shared" si="51"/>
        <v>-8.6206979407345407E-3</v>
      </c>
      <c r="I56" s="119">
        <f t="shared" si="51"/>
        <v>-2.1322002449372227E-3</v>
      </c>
      <c r="J56" s="119">
        <f t="shared" si="51"/>
        <v>-3.525744834514356E-3</v>
      </c>
      <c r="K56" s="120">
        <f t="shared" si="51"/>
        <v>-5.0146307806607981E-3</v>
      </c>
    </row>
    <row r="57" spans="1:11" s="43" customFormat="1" ht="13.2" x14ac:dyDescent="0.25">
      <c r="A57" s="139">
        <f t="shared" si="44"/>
        <v>0.10854103285557527</v>
      </c>
      <c r="B57" s="139">
        <f t="shared" si="45"/>
        <v>38.19756837158171</v>
      </c>
      <c r="C57" s="160">
        <f t="shared" si="46"/>
        <v>8.149173378864079</v>
      </c>
      <c r="D57" s="160">
        <f t="shared" si="47"/>
        <v>0.52202066982304951</v>
      </c>
      <c r="E57" s="50" t="s">
        <v>346</v>
      </c>
      <c r="F57" s="119">
        <f>((F74-F78)/F78)*100%</f>
        <v>0.10854103285557527</v>
      </c>
      <c r="G57" s="119">
        <f t="shared" si="51"/>
        <v>0.19185844420267334</v>
      </c>
      <c r="H57" s="119">
        <f t="shared" si="51"/>
        <v>0.7650230498557743</v>
      </c>
      <c r="I57" s="119">
        <f t="shared" si="51"/>
        <v>0.27901828979032467</v>
      </c>
      <c r="J57" s="119">
        <f t="shared" si="51"/>
        <v>9.3530310848984222</v>
      </c>
      <c r="K57" s="120">
        <f t="shared" si="51"/>
        <v>38.19756837158171</v>
      </c>
    </row>
    <row r="58" spans="1:11" s="43" customFormat="1" ht="13.2" x14ac:dyDescent="0.25">
      <c r="A58" s="139">
        <f t="shared" si="44"/>
        <v>-2.8834037187328326E-2</v>
      </c>
      <c r="B58" s="139">
        <f t="shared" si="45"/>
        <v>6.9210164523872006E-2</v>
      </c>
      <c r="C58" s="155">
        <f t="shared" si="46"/>
        <v>2.0082792328662977E-2</v>
      </c>
      <c r="D58" s="156">
        <f t="shared" si="47"/>
        <v>3.1295140877698427E-2</v>
      </c>
      <c r="E58" s="50" t="s">
        <v>356</v>
      </c>
      <c r="F58" s="71">
        <f>F68/(F70+F71+F72+F73+F74+F75)</f>
        <v>4.0382135980915751E-2</v>
      </c>
      <c r="G58" s="71">
        <f t="shared" ref="G58:K58" si="52">G68/(G70+G71+G72+G73+G74)</f>
        <v>2.3063071374795966E-2</v>
      </c>
      <c r="H58" s="71">
        <f t="shared" si="52"/>
        <v>3.9527210380600891E-2</v>
      </c>
      <c r="I58" s="71">
        <f t="shared" si="52"/>
        <v>-2.8834037187328326E-2</v>
      </c>
      <c r="J58" s="71">
        <f t="shared" si="52"/>
        <v>-2.2851791100878423E-2</v>
      </c>
      <c r="K58" s="72">
        <f t="shared" si="52"/>
        <v>6.9210164523872006E-2</v>
      </c>
    </row>
    <row r="59" spans="1:11" s="43" customFormat="1" ht="13.2" x14ac:dyDescent="0.25">
      <c r="A59" s="139">
        <f t="shared" si="44"/>
        <v>-2.8825408941701845E-2</v>
      </c>
      <c r="B59" s="139">
        <f t="shared" si="45"/>
        <v>6.9163694080719165E-2</v>
      </c>
      <c r="C59" s="155">
        <f t="shared" si="46"/>
        <v>2.0074555443219906E-2</v>
      </c>
      <c r="D59" s="156">
        <f t="shared" si="47"/>
        <v>3.1284305974281015E-2</v>
      </c>
      <c r="E59" s="50" t="s">
        <v>361</v>
      </c>
      <c r="F59" s="71">
        <f>F69/(F70+F71+F72+F73+F74+F75)</f>
        <v>4.0382135980915751E-2</v>
      </c>
      <c r="G59" s="71">
        <f t="shared" ref="G59:K59" si="53">G69/(G70+G71+G72+G73+G74+G75)</f>
        <v>2.3050000514432414E-2</v>
      </c>
      <c r="H59" s="71">
        <f t="shared" si="53"/>
        <v>3.9518611434129623E-2</v>
      </c>
      <c r="I59" s="71">
        <f t="shared" si="53"/>
        <v>-2.8825408941701845E-2</v>
      </c>
      <c r="J59" s="71">
        <f t="shared" si="53"/>
        <v>-2.2841700409175662E-2</v>
      </c>
      <c r="K59" s="72">
        <f t="shared" si="53"/>
        <v>6.9163694080719165E-2</v>
      </c>
    </row>
    <row r="60" spans="1:11" s="43" customFormat="1" ht="26.4" x14ac:dyDescent="0.25">
      <c r="A60" s="139">
        <f t="shared" si="44"/>
        <v>-0.1013964913938343</v>
      </c>
      <c r="B60" s="139">
        <f t="shared" si="45"/>
        <v>1.9825747462328389E-3</v>
      </c>
      <c r="C60" s="160">
        <f t="shared" si="46"/>
        <v>-6.4888475202965701E-2</v>
      </c>
      <c r="D60" s="160">
        <f t="shared" si="47"/>
        <v>-8.530200133366625E-2</v>
      </c>
      <c r="E60" s="50" t="s">
        <v>372</v>
      </c>
      <c r="F60" s="119">
        <f>F65/F79*100%</f>
        <v>1.9825747462328389E-3</v>
      </c>
      <c r="G60" s="119">
        <f t="shared" ref="G60:K60" si="54">G65/G79*100%</f>
        <v>-2.3765459808371719E-2</v>
      </c>
      <c r="H60" s="119">
        <f t="shared" si="54"/>
        <v>-7.637337568895157E-2</v>
      </c>
      <c r="I60" s="119">
        <f t="shared" si="54"/>
        <v>-0.1013964913938343</v>
      </c>
      <c r="J60" s="119">
        <f t="shared" si="54"/>
        <v>-9.4230626978380916E-2</v>
      </c>
      <c r="K60" s="120">
        <f t="shared" si="54"/>
        <v>-9.5547472094488564E-2</v>
      </c>
    </row>
    <row r="61" spans="1:11" s="43" customFormat="1" ht="13.2" x14ac:dyDescent="0.25">
      <c r="A61" s="139">
        <f t="shared" si="44"/>
        <v>-4.7459993894919839E-2</v>
      </c>
      <c r="B61" s="139">
        <f t="shared" si="45"/>
        <v>0.10636225044867428</v>
      </c>
      <c r="C61" s="155">
        <f t="shared" si="46"/>
        <v>3.6187924271348808E-2</v>
      </c>
      <c r="D61" s="156">
        <f t="shared" si="47"/>
        <v>5.6179040841287609E-2</v>
      </c>
      <c r="E61" s="50" t="s">
        <v>373</v>
      </c>
      <c r="F61" s="71">
        <f>F69/F79</f>
        <v>8.1701748236754551E-2</v>
      </c>
      <c r="G61" s="71">
        <f t="shared" ref="G61:K61" si="55">G69/G79</f>
        <v>4.2785809623324469E-2</v>
      </c>
      <c r="H61" s="71">
        <f t="shared" si="55"/>
        <v>6.9572272059250748E-2</v>
      </c>
      <c r="I61" s="71">
        <f t="shared" si="55"/>
        <v>-4.7459993894919839E-2</v>
      </c>
      <c r="J61" s="71">
        <f t="shared" si="55"/>
        <v>-3.5834540844991346E-2</v>
      </c>
      <c r="K61" s="72">
        <f t="shared" si="55"/>
        <v>0.10636225044867428</v>
      </c>
    </row>
    <row r="62" spans="1:11" s="43" customFormat="1" ht="13.2" x14ac:dyDescent="0.25">
      <c r="A62" s="139">
        <f t="shared" si="44"/>
        <v>5.5686852216190449E-2</v>
      </c>
      <c r="B62" s="139">
        <f t="shared" si="45"/>
        <v>0.29500310174452199</v>
      </c>
      <c r="C62" s="155">
        <f t="shared" si="46"/>
        <v>0.14868037222801439</v>
      </c>
      <c r="D62" s="156">
        <f t="shared" si="47"/>
        <v>0.13183306025452701</v>
      </c>
      <c r="E62" s="50" t="s">
        <v>374</v>
      </c>
      <c r="F62" s="71">
        <f>F69/F80</f>
        <v>0.12970110556897793</v>
      </c>
      <c r="G62" s="71">
        <f>G66/G80</f>
        <v>0.29500310174452199</v>
      </c>
      <c r="H62" s="71">
        <f>H66/H80</f>
        <v>0.13396501494007612</v>
      </c>
      <c r="I62" s="71">
        <f>I66/I80</f>
        <v>5.5686852216190449E-2</v>
      </c>
      <c r="J62" s="71">
        <f>J66/J80</f>
        <v>0.15057692368328249</v>
      </c>
      <c r="K62" s="72">
        <f>K66/K80</f>
        <v>0.1271492352150374</v>
      </c>
    </row>
    <row r="63" spans="1:11" s="43" customFormat="1" ht="13.8" thickBot="1" x14ac:dyDescent="0.3">
      <c r="A63" s="139">
        <f t="shared" si="44"/>
        <v>-0.18148731569958207</v>
      </c>
      <c r="B63" s="139">
        <f t="shared" si="45"/>
        <v>3.0413075204465826E-3</v>
      </c>
      <c r="C63" s="155">
        <f t="shared" si="46"/>
        <v>-0.11171122160318385</v>
      </c>
      <c r="D63" s="156">
        <f t="shared" si="47"/>
        <v>-0.14489282091804762</v>
      </c>
      <c r="E63" s="51" t="s">
        <v>302</v>
      </c>
      <c r="F63" s="73">
        <f t="shared" ref="F63:K63" si="56">F65/(F80+F81)</f>
        <v>3.0413075204465826E-3</v>
      </c>
      <c r="G63" s="73">
        <f t="shared" si="56"/>
        <v>-3.8800915058774622E-2</v>
      </c>
      <c r="H63" s="73">
        <f t="shared" si="56"/>
        <v>-0.12793715847296788</v>
      </c>
      <c r="I63" s="73">
        <f t="shared" si="56"/>
        <v>-0.18148731569958207</v>
      </c>
      <c r="J63" s="73">
        <f t="shared" si="56"/>
        <v>-0.16184848336312738</v>
      </c>
      <c r="K63" s="74">
        <f t="shared" si="56"/>
        <v>-0.16323476454509769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66401.62</v>
      </c>
      <c r="G65" s="76">
        <f t="shared" ref="G65:K65" si="57">G97</f>
        <v>-718826.14</v>
      </c>
      <c r="H65" s="76">
        <f t="shared" si="57"/>
        <v>-2226248.0699999998</v>
      </c>
      <c r="I65" s="76">
        <f t="shared" si="57"/>
        <v>-2779439.81</v>
      </c>
      <c r="J65" s="76">
        <f t="shared" si="57"/>
        <v>-2703330.28</v>
      </c>
      <c r="K65" s="76">
        <f t="shared" si="57"/>
        <v>-2901129.23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6891654.2400000002</v>
      </c>
      <c r="G66" s="76">
        <f t="shared" ref="G66:K66" si="58">G95</f>
        <v>5465230.4100000001</v>
      </c>
      <c r="H66" s="76">
        <f t="shared" si="58"/>
        <v>2331139.44</v>
      </c>
      <c r="I66" s="76">
        <f t="shared" si="58"/>
        <v>852832.35</v>
      </c>
      <c r="J66" s="76">
        <f t="shared" si="58"/>
        <v>2513858.54</v>
      </c>
      <c r="K66" s="76">
        <f t="shared" si="58"/>
        <v>2255386.4900000002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994749.16</v>
      </c>
      <c r="G67" s="76">
        <f t="shared" ref="G67:K67" si="59">G92</f>
        <v>894617.28</v>
      </c>
      <c r="H67" s="76">
        <f t="shared" si="59"/>
        <v>1330985.5</v>
      </c>
      <c r="I67" s="76">
        <f t="shared" si="59"/>
        <v>2081883.74</v>
      </c>
      <c r="J67" s="76">
        <f t="shared" si="59"/>
        <v>1446790.92</v>
      </c>
      <c r="K67" s="76">
        <f t="shared" si="59"/>
        <v>1129679.8999999999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2736405.5</v>
      </c>
      <c r="G68" s="76">
        <f t="shared" ref="G68:K68" si="60">G102</f>
        <v>1294128.48</v>
      </c>
      <c r="H68" s="76">
        <f t="shared" si="60"/>
        <v>2027999.09</v>
      </c>
      <c r="I68" s="76">
        <f t="shared" si="60"/>
        <v>-1300954.25</v>
      </c>
      <c r="J68" s="76">
        <f t="shared" si="60"/>
        <v>-1028037.3</v>
      </c>
      <c r="K68" s="76">
        <f t="shared" si="60"/>
        <v>3229500.76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2736405.5</v>
      </c>
      <c r="G69" s="76">
        <f t="shared" ref="G69:K69" si="61">G104</f>
        <v>1294128.48</v>
      </c>
      <c r="H69" s="76">
        <f t="shared" si="61"/>
        <v>2027999.09</v>
      </c>
      <c r="I69" s="76">
        <f t="shared" si="61"/>
        <v>-1300954.25</v>
      </c>
      <c r="J69" s="76">
        <f t="shared" si="61"/>
        <v>-1028037.3</v>
      </c>
      <c r="K69" s="76">
        <f t="shared" si="61"/>
        <v>3229500.76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20724092.16</v>
      </c>
      <c r="G70" s="76">
        <f t="shared" ref="G70:K70" si="62">G93</f>
        <v>17544101.079999998</v>
      </c>
      <c r="H70" s="76">
        <f t="shared" si="62"/>
        <v>13102460.640000001</v>
      </c>
      <c r="I70" s="76">
        <f t="shared" si="62"/>
        <v>11663962.16</v>
      </c>
      <c r="J70" s="76">
        <f t="shared" si="62"/>
        <v>14649802.85</v>
      </c>
      <c r="K70" s="76">
        <f t="shared" si="62"/>
        <v>13242531.08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3268719.24</v>
      </c>
      <c r="G71" s="76">
        <f t="shared" ref="G71:K71" si="63">G98</f>
        <v>2897160.82</v>
      </c>
      <c r="H71" s="76">
        <f t="shared" si="63"/>
        <v>6057353.7999999998</v>
      </c>
      <c r="I71" s="76">
        <f t="shared" si="63"/>
        <v>1955421.42</v>
      </c>
      <c r="J71" s="76">
        <f t="shared" si="63"/>
        <v>2219768.66</v>
      </c>
      <c r="K71" s="76">
        <f t="shared" si="63"/>
        <v>6938844.6299999999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22072750.640000001</v>
      </c>
      <c r="G72" s="76">
        <f t="shared" ref="G72:K74" si="64">G85</f>
        <v>16677160.960000001</v>
      </c>
      <c r="H72" s="76">
        <f t="shared" si="64"/>
        <v>13782231.65</v>
      </c>
      <c r="I72" s="76">
        <f t="shared" si="64"/>
        <v>13148275.16</v>
      </c>
      <c r="J72" s="76">
        <f t="shared" si="64"/>
        <v>12010589.289999999</v>
      </c>
      <c r="K72" s="76">
        <f t="shared" si="64"/>
        <v>11295252.27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20913425.82</v>
      </c>
      <c r="G73" s="76">
        <f t="shared" si="64"/>
        <v>18453875.09</v>
      </c>
      <c r="H73" s="76">
        <f t="shared" si="64"/>
        <v>17555751.879999999</v>
      </c>
      <c r="I73" s="76">
        <f t="shared" si="64"/>
        <v>17837720.25</v>
      </c>
      <c r="J73" s="76">
        <f t="shared" si="64"/>
        <v>15754100.880000001</v>
      </c>
      <c r="K73" s="76">
        <f t="shared" si="64"/>
        <v>14844733.039999999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602810.38</v>
      </c>
      <c r="G74" s="76">
        <f t="shared" si="64"/>
        <v>540283.89</v>
      </c>
      <c r="H74" s="76">
        <f t="shared" si="64"/>
        <v>808607.68</v>
      </c>
      <c r="I74" s="76">
        <f t="shared" si="64"/>
        <v>513320.19</v>
      </c>
      <c r="J74" s="76">
        <f t="shared" si="64"/>
        <v>352903.46</v>
      </c>
      <c r="K74" s="76">
        <f t="shared" si="64"/>
        <v>340871.07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180974.42</v>
      </c>
      <c r="G75" s="76">
        <f t="shared" ref="G75:K75" si="65">G100</f>
        <v>31819.51</v>
      </c>
      <c r="H75" s="76">
        <f t="shared" si="65"/>
        <v>11163.88</v>
      </c>
      <c r="I75" s="76">
        <f t="shared" si="65"/>
        <v>13505.28</v>
      </c>
      <c r="J75" s="76">
        <f t="shared" si="65"/>
        <v>19873.810000000001</v>
      </c>
      <c r="K75" s="76">
        <f t="shared" si="65"/>
        <v>31351.919999999998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20708969.670000002</v>
      </c>
      <c r="G76" s="76">
        <f t="shared" ref="G76:K78" si="66">G89</f>
        <v>15454090.449999999</v>
      </c>
      <c r="H76" s="76">
        <f t="shared" si="66"/>
        <v>12649066.289999999</v>
      </c>
      <c r="I76" s="76">
        <f t="shared" si="66"/>
        <v>11140257.539999999</v>
      </c>
      <c r="J76" s="76">
        <f t="shared" si="66"/>
        <v>10826873.390000001</v>
      </c>
      <c r="K76" s="76">
        <f t="shared" si="66"/>
        <v>10422931.18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21341480.850000001</v>
      </c>
      <c r="G77" s="76">
        <f t="shared" si="66"/>
        <v>18869300.079999998</v>
      </c>
      <c r="H77" s="76">
        <f t="shared" si="66"/>
        <v>17708410.739999998</v>
      </c>
      <c r="I77" s="76">
        <f t="shared" si="66"/>
        <v>17875835.109999999</v>
      </c>
      <c r="J77" s="76">
        <f t="shared" si="66"/>
        <v>15809842.35</v>
      </c>
      <c r="K77" s="76">
        <f t="shared" si="66"/>
        <v>14919549.07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543787.16</v>
      </c>
      <c r="G78" s="76">
        <f t="shared" si="66"/>
        <v>453312.13</v>
      </c>
      <c r="H78" s="76">
        <f t="shared" si="66"/>
        <v>458128.68</v>
      </c>
      <c r="I78" s="76">
        <f t="shared" si="66"/>
        <v>401339.21</v>
      </c>
      <c r="J78" s="76">
        <f t="shared" si="66"/>
        <v>34086.97</v>
      </c>
      <c r="K78" s="76">
        <f t="shared" si="66"/>
        <v>8696.23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33492618.690000001</v>
      </c>
      <c r="G79" s="76">
        <f t="shared" ref="G79:K79" si="67">G120</f>
        <v>30246675.039999999</v>
      </c>
      <c r="H79" s="76">
        <f t="shared" si="67"/>
        <v>29149530.84</v>
      </c>
      <c r="I79" s="76">
        <f t="shared" si="67"/>
        <v>27411597.5</v>
      </c>
      <c r="J79" s="76">
        <f t="shared" si="67"/>
        <v>28688446.280000001</v>
      </c>
      <c r="K79" s="76">
        <f t="shared" si="67"/>
        <v>30363223.289999999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21097780.84</v>
      </c>
      <c r="G80" s="76">
        <f t="shared" ref="G80:K80" si="68">G122</f>
        <v>18526009.989999998</v>
      </c>
      <c r="H80" s="76">
        <f t="shared" si="68"/>
        <v>17401106.109999999</v>
      </c>
      <c r="I80" s="76">
        <f t="shared" si="68"/>
        <v>15314788.25</v>
      </c>
      <c r="J80" s="76">
        <f t="shared" si="68"/>
        <v>16694845.92</v>
      </c>
      <c r="K80" s="76">
        <f t="shared" si="68"/>
        <v>17738105.039999999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735466.72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8000</v>
      </c>
      <c r="K81" s="76">
        <f t="shared" si="69"/>
        <v>34636.19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43588986.840000004</v>
      </c>
      <c r="G84" s="90">
        <v>35671319.939999998</v>
      </c>
      <c r="H84" s="90">
        <v>32146591.210000001</v>
      </c>
      <c r="I84" s="90">
        <v>31499315.600000001</v>
      </c>
      <c r="J84" s="90">
        <v>28117593.629999999</v>
      </c>
      <c r="K84" s="90">
        <v>26480856.379999999</v>
      </c>
    </row>
    <row r="85" spans="3:11" x14ac:dyDescent="0.3">
      <c r="E85" s="11" t="s">
        <v>3</v>
      </c>
      <c r="F85" s="90">
        <v>22072750.640000001</v>
      </c>
      <c r="G85" s="90">
        <v>16677160.960000001</v>
      </c>
      <c r="H85" s="90">
        <v>13782231.65</v>
      </c>
      <c r="I85" s="90">
        <v>13148275.16</v>
      </c>
      <c r="J85" s="90">
        <v>12010589.289999999</v>
      </c>
      <c r="K85" s="90">
        <v>11295252.27</v>
      </c>
    </row>
    <row r="86" spans="3:11" x14ac:dyDescent="0.3">
      <c r="E86" s="11" t="s">
        <v>4</v>
      </c>
      <c r="F86" s="90">
        <v>20913425.82</v>
      </c>
      <c r="G86" s="90">
        <v>18453875.09</v>
      </c>
      <c r="H86" s="90">
        <v>17555751.879999999</v>
      </c>
      <c r="I86" s="90">
        <v>17837720.25</v>
      </c>
      <c r="J86" s="90">
        <v>15754100.880000001</v>
      </c>
      <c r="K86" s="90">
        <v>14844733.039999999</v>
      </c>
    </row>
    <row r="87" spans="3:11" x14ac:dyDescent="0.3">
      <c r="E87" s="11" t="s">
        <v>5</v>
      </c>
      <c r="F87" s="90">
        <v>602810.38</v>
      </c>
      <c r="G87" s="90">
        <v>540283.89</v>
      </c>
      <c r="H87" s="90">
        <v>808607.68</v>
      </c>
      <c r="I87" s="90">
        <v>513320.19</v>
      </c>
      <c r="J87" s="90">
        <v>352903.46</v>
      </c>
      <c r="K87" s="90">
        <v>340871.07</v>
      </c>
    </row>
    <row r="88" spans="3:11" x14ac:dyDescent="0.3">
      <c r="E88" s="11" t="s">
        <v>6</v>
      </c>
      <c r="F88" s="90">
        <v>42594237.68</v>
      </c>
      <c r="G88" s="90">
        <v>34776702.659999996</v>
      </c>
      <c r="H88" s="90">
        <v>30815605.710000001</v>
      </c>
      <c r="I88" s="90">
        <v>29417431.859999999</v>
      </c>
      <c r="J88" s="90">
        <v>26670802.710000001</v>
      </c>
      <c r="K88" s="90">
        <v>25351176.48</v>
      </c>
    </row>
    <row r="89" spans="3:11" x14ac:dyDescent="0.3">
      <c r="E89" s="11" t="s">
        <v>7</v>
      </c>
      <c r="F89" s="90">
        <v>20708969.670000002</v>
      </c>
      <c r="G89" s="90">
        <v>15454090.449999999</v>
      </c>
      <c r="H89" s="90">
        <v>12649066.289999999</v>
      </c>
      <c r="I89" s="90">
        <v>11140257.539999999</v>
      </c>
      <c r="J89" s="90">
        <v>10826873.390000001</v>
      </c>
      <c r="K89" s="90">
        <v>10422931.18</v>
      </c>
    </row>
    <row r="90" spans="3:11" x14ac:dyDescent="0.3">
      <c r="E90" s="11" t="s">
        <v>8</v>
      </c>
      <c r="F90" s="90">
        <v>21341480.850000001</v>
      </c>
      <c r="G90" s="90">
        <v>18869300.079999998</v>
      </c>
      <c r="H90" s="90">
        <v>17708410.739999998</v>
      </c>
      <c r="I90" s="90">
        <v>17875835.109999999</v>
      </c>
      <c r="J90" s="90">
        <v>15809842.35</v>
      </c>
      <c r="K90" s="90">
        <v>14919549.07</v>
      </c>
    </row>
    <row r="91" spans="3:11" x14ac:dyDescent="0.3">
      <c r="E91" s="11" t="s">
        <v>9</v>
      </c>
      <c r="F91" s="90">
        <v>543787.16</v>
      </c>
      <c r="G91" s="90">
        <v>453312.13</v>
      </c>
      <c r="H91" s="90">
        <v>458128.68</v>
      </c>
      <c r="I91" s="90">
        <v>401339.21</v>
      </c>
      <c r="J91" s="90">
        <v>34086.97</v>
      </c>
      <c r="K91" s="90">
        <v>8696.23</v>
      </c>
    </row>
    <row r="92" spans="3:11" x14ac:dyDescent="0.3">
      <c r="E92" s="11" t="s">
        <v>10</v>
      </c>
      <c r="F92" s="90">
        <v>994749.16</v>
      </c>
      <c r="G92" s="90">
        <v>894617.28</v>
      </c>
      <c r="H92" s="90">
        <v>1330985.5</v>
      </c>
      <c r="I92" s="90">
        <v>2081883.74</v>
      </c>
      <c r="J92" s="90">
        <v>1446790.92</v>
      </c>
      <c r="K92" s="90">
        <v>1129679.8999999999</v>
      </c>
    </row>
    <row r="93" spans="3:11" x14ac:dyDescent="0.3">
      <c r="E93" s="11" t="s">
        <v>11</v>
      </c>
      <c r="F93" s="90">
        <v>20724092.16</v>
      </c>
      <c r="G93" s="90">
        <v>17544101.079999998</v>
      </c>
      <c r="H93" s="90">
        <v>13102460.640000001</v>
      </c>
      <c r="I93" s="90">
        <v>11663962.16</v>
      </c>
      <c r="J93" s="90">
        <v>14649802.85</v>
      </c>
      <c r="K93" s="90">
        <v>13242531.08</v>
      </c>
    </row>
    <row r="94" spans="3:11" x14ac:dyDescent="0.3">
      <c r="E94" s="11" t="s">
        <v>12</v>
      </c>
      <c r="F94" s="90">
        <v>13832437.92</v>
      </c>
      <c r="G94" s="90">
        <v>12078870.67</v>
      </c>
      <c r="H94" s="90">
        <v>10771321.199999999</v>
      </c>
      <c r="I94" s="90">
        <v>10811129.810000001</v>
      </c>
      <c r="J94" s="90">
        <v>12135944.310000001</v>
      </c>
      <c r="K94" s="90">
        <v>10987144.59</v>
      </c>
    </row>
    <row r="95" spans="3:11" x14ac:dyDescent="0.3">
      <c r="E95" s="11" t="s">
        <v>13</v>
      </c>
      <c r="F95" s="90">
        <v>6891654.2400000002</v>
      </c>
      <c r="G95" s="90">
        <v>5465230.4100000001</v>
      </c>
      <c r="H95" s="90">
        <v>2331139.44</v>
      </c>
      <c r="I95" s="90">
        <v>852832.35</v>
      </c>
      <c r="J95" s="90">
        <v>2513858.54</v>
      </c>
      <c r="K95" s="90">
        <v>2255386.4900000002</v>
      </c>
    </row>
    <row r="96" spans="3:11" x14ac:dyDescent="0.3">
      <c r="E96" s="11" t="s">
        <v>14</v>
      </c>
      <c r="F96" s="90">
        <v>7820001.7800000003</v>
      </c>
      <c r="G96" s="90">
        <v>7078673.8300000001</v>
      </c>
      <c r="H96" s="90">
        <v>5888373.0099999998</v>
      </c>
      <c r="I96" s="90">
        <v>5714155.9000000004</v>
      </c>
      <c r="J96" s="90">
        <v>6663979.7400000002</v>
      </c>
      <c r="K96" s="90">
        <v>6286195.6200000001</v>
      </c>
    </row>
    <row r="97" spans="5:11" x14ac:dyDescent="0.3">
      <c r="E97" s="11" t="s">
        <v>15</v>
      </c>
      <c r="F97" s="90">
        <v>66401.62</v>
      </c>
      <c r="G97" s="90">
        <v>-718826.14</v>
      </c>
      <c r="H97" s="90">
        <v>-2226248.0699999998</v>
      </c>
      <c r="I97" s="90">
        <v>-2779439.81</v>
      </c>
      <c r="J97" s="90">
        <v>-2703330.28</v>
      </c>
      <c r="K97" s="90">
        <v>-2901129.23</v>
      </c>
    </row>
    <row r="98" spans="5:11" x14ac:dyDescent="0.3">
      <c r="E98" s="11" t="s">
        <v>16</v>
      </c>
      <c r="F98" s="90">
        <v>3268719.24</v>
      </c>
      <c r="G98" s="90">
        <v>2897160.82</v>
      </c>
      <c r="H98" s="90">
        <v>6057353.7999999998</v>
      </c>
      <c r="I98" s="90">
        <v>1955421.42</v>
      </c>
      <c r="J98" s="90">
        <v>2219768.66</v>
      </c>
      <c r="K98" s="90">
        <v>6938844.6299999999</v>
      </c>
    </row>
    <row r="99" spans="5:11" x14ac:dyDescent="0.3">
      <c r="E99" s="11" t="s">
        <v>17</v>
      </c>
      <c r="F99" s="90">
        <v>733863.75</v>
      </c>
      <c r="G99" s="90">
        <v>889143.24</v>
      </c>
      <c r="H99" s="90">
        <v>1794603.87</v>
      </c>
      <c r="I99" s="90">
        <v>451224.55</v>
      </c>
      <c r="J99" s="90">
        <v>525132.82999999996</v>
      </c>
      <c r="K99" s="90">
        <v>817512.95999999996</v>
      </c>
    </row>
    <row r="100" spans="5:11" x14ac:dyDescent="0.3">
      <c r="E100" s="11" t="s">
        <v>18</v>
      </c>
      <c r="F100" s="90">
        <v>180974.42</v>
      </c>
      <c r="G100" s="90">
        <v>31819.51</v>
      </c>
      <c r="H100" s="90">
        <v>11163.88</v>
      </c>
      <c r="I100" s="90">
        <v>13505.28</v>
      </c>
      <c r="J100" s="90">
        <v>19873.810000000001</v>
      </c>
      <c r="K100" s="90">
        <v>31351.919999999998</v>
      </c>
    </row>
    <row r="101" spans="5:11" x14ac:dyDescent="0.3">
      <c r="E101" s="11" t="s">
        <v>19</v>
      </c>
      <c r="F101" s="90">
        <v>45826.03</v>
      </c>
      <c r="G101" s="90">
        <v>26882.47</v>
      </c>
      <c r="H101" s="90">
        <v>19666.650000000001</v>
      </c>
      <c r="I101" s="90">
        <v>39216.589999999997</v>
      </c>
      <c r="J101" s="90">
        <v>39216.660000000003</v>
      </c>
      <c r="K101" s="90">
        <v>22053.599999999999</v>
      </c>
    </row>
    <row r="102" spans="5:11" x14ac:dyDescent="0.3">
      <c r="E102" s="11" t="s">
        <v>20</v>
      </c>
      <c r="F102" s="90">
        <v>2736405.5</v>
      </c>
      <c r="G102" s="90">
        <v>1294128.48</v>
      </c>
      <c r="H102" s="90">
        <v>2027999.09</v>
      </c>
      <c r="I102" s="90">
        <v>-1300954.25</v>
      </c>
      <c r="J102" s="90">
        <v>-1028037.3</v>
      </c>
      <c r="K102" s="90">
        <v>3229500.76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2736405.5</v>
      </c>
      <c r="G104" s="90">
        <v>1294128.48</v>
      </c>
      <c r="H104" s="90">
        <v>2027999.09</v>
      </c>
      <c r="I104" s="90">
        <v>-1300954.25</v>
      </c>
      <c r="J104" s="90">
        <v>-1028037.3</v>
      </c>
      <c r="K104" s="90">
        <v>3229500.76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18125360.850000001</v>
      </c>
      <c r="G108" s="90">
        <v>17879890.550000001</v>
      </c>
      <c r="H108" s="90">
        <v>19165055.510000002</v>
      </c>
      <c r="I108" s="90">
        <v>20566165.300000001</v>
      </c>
      <c r="J108" s="90">
        <v>21133970.719999999</v>
      </c>
      <c r="K108" s="90">
        <v>20645086.199999999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707</v>
      </c>
      <c r="I109" s="90">
        <v>2121</v>
      </c>
      <c r="J109" s="90">
        <v>3535</v>
      </c>
      <c r="K109" s="90">
        <v>9194.07</v>
      </c>
    </row>
    <row r="110" spans="5:11" ht="15" customHeight="1" x14ac:dyDescent="0.3">
      <c r="E110" s="8" t="s">
        <v>29</v>
      </c>
      <c r="F110" s="90">
        <v>18125360.850000001</v>
      </c>
      <c r="G110" s="90">
        <v>17879890.550000001</v>
      </c>
      <c r="H110" s="90">
        <v>19164348.510000002</v>
      </c>
      <c r="I110" s="90">
        <v>20464044.300000001</v>
      </c>
      <c r="J110" s="90">
        <v>21030435.719999999</v>
      </c>
      <c r="K110" s="90">
        <v>20535892.129999999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90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90">
        <v>100000</v>
      </c>
      <c r="J112" s="90">
        <v>100000</v>
      </c>
      <c r="K112" s="90">
        <v>100000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15367257.84</v>
      </c>
      <c r="G114" s="90">
        <v>12366784.49</v>
      </c>
      <c r="H114" s="90">
        <v>9984475.3300000001</v>
      </c>
      <c r="I114" s="90">
        <v>6845432.2000000002</v>
      </c>
      <c r="J114" s="90">
        <v>7554475.5599999996</v>
      </c>
      <c r="K114" s="90">
        <v>9718137.0899999999</v>
      </c>
    </row>
    <row r="115" spans="5:11" x14ac:dyDescent="0.3">
      <c r="E115" s="8" t="s">
        <v>34</v>
      </c>
      <c r="F115" s="90">
        <v>434598</v>
      </c>
      <c r="G115" s="90">
        <v>456548.1</v>
      </c>
      <c r="H115" s="90">
        <v>510154.42</v>
      </c>
      <c r="I115" s="90">
        <v>375358.51</v>
      </c>
      <c r="J115" s="90">
        <v>406546.76</v>
      </c>
      <c r="K115" s="90">
        <v>371136.87</v>
      </c>
    </row>
    <row r="116" spans="5:11" ht="15" customHeight="1" x14ac:dyDescent="0.3">
      <c r="E116" s="8" t="s">
        <v>35</v>
      </c>
      <c r="F116" s="90">
        <v>2627319.7400000002</v>
      </c>
      <c r="G116" s="90">
        <v>2283547.09</v>
      </c>
      <c r="H116" s="90">
        <v>1495575.23</v>
      </c>
      <c r="I116" s="90">
        <v>1445675.1</v>
      </c>
      <c r="J116" s="90">
        <v>1706322.14</v>
      </c>
      <c r="K116" s="90">
        <v>1575751.1</v>
      </c>
    </row>
    <row r="117" spans="5:11" ht="15" customHeight="1" x14ac:dyDescent="0.3">
      <c r="E117" s="8" t="s">
        <v>36</v>
      </c>
      <c r="F117" s="90">
        <v>11922554.449999999</v>
      </c>
      <c r="G117" s="90">
        <v>9290690.6099999994</v>
      </c>
      <c r="H117" s="90">
        <v>7686254.1299999999</v>
      </c>
      <c r="I117" s="90">
        <v>4688742.21</v>
      </c>
      <c r="J117" s="90">
        <v>5072468.46</v>
      </c>
      <c r="K117" s="90">
        <v>7361780.2300000004</v>
      </c>
    </row>
    <row r="118" spans="5:11" ht="15" customHeight="1" x14ac:dyDescent="0.3">
      <c r="E118" s="8" t="s">
        <v>37</v>
      </c>
      <c r="F118" s="90">
        <v>382785.65</v>
      </c>
      <c r="G118" s="90">
        <v>335998.69</v>
      </c>
      <c r="H118" s="90">
        <v>292491.55</v>
      </c>
      <c r="I118" s="90">
        <v>335656.38</v>
      </c>
      <c r="J118" s="90">
        <v>369138.2</v>
      </c>
      <c r="K118" s="90">
        <v>409468.89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33492618.690000001</v>
      </c>
      <c r="G120" s="90">
        <v>30246675.039999999</v>
      </c>
      <c r="H120" s="90">
        <v>29149530.84</v>
      </c>
      <c r="I120" s="90">
        <v>27411597.5</v>
      </c>
      <c r="J120" s="90">
        <v>28688446.280000001</v>
      </c>
      <c r="K120" s="90">
        <v>30363223.289999999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21097780.84</v>
      </c>
      <c r="G122" s="90">
        <v>18526009.989999998</v>
      </c>
      <c r="H122" s="90">
        <v>17401106.109999999</v>
      </c>
      <c r="I122" s="90">
        <v>15314788.25</v>
      </c>
      <c r="J122" s="90">
        <v>16694845.92</v>
      </c>
      <c r="K122" s="90">
        <v>17738105.039999999</v>
      </c>
    </row>
    <row r="123" spans="5:11" x14ac:dyDescent="0.3">
      <c r="E123" s="8" t="s">
        <v>42</v>
      </c>
      <c r="F123" s="90">
        <v>19170690.73</v>
      </c>
      <c r="G123" s="90">
        <v>19273634.239999998</v>
      </c>
      <c r="H123" s="90">
        <v>19118137.440000001</v>
      </c>
      <c r="I123" s="90">
        <v>19546987.93</v>
      </c>
      <c r="J123" s="90">
        <v>19100585.280000001</v>
      </c>
      <c r="K123" s="90">
        <v>19024666.379999999</v>
      </c>
    </row>
    <row r="124" spans="5:11" x14ac:dyDescent="0.3">
      <c r="E124" s="8" t="s">
        <v>43</v>
      </c>
      <c r="F124" s="90">
        <v>679715.72</v>
      </c>
      <c r="G124" s="90">
        <v>652605.72</v>
      </c>
      <c r="H124" s="90">
        <v>623954.96</v>
      </c>
      <c r="I124" s="90">
        <v>163090.51999999999</v>
      </c>
      <c r="J124" s="90">
        <v>513524.15</v>
      </c>
      <c r="K124" s="90">
        <v>509979.22</v>
      </c>
    </row>
    <row r="125" spans="5:11" ht="15" customHeight="1" x14ac:dyDescent="0.3">
      <c r="E125" s="8" t="s">
        <v>44</v>
      </c>
      <c r="F125" s="90">
        <v>-1489031.11</v>
      </c>
      <c r="G125" s="90">
        <v>-2694358.45</v>
      </c>
      <c r="H125" s="90">
        <v>-4368985.38</v>
      </c>
      <c r="I125" s="90">
        <v>-3094335.95</v>
      </c>
      <c r="J125" s="90">
        <v>-1891226.21</v>
      </c>
      <c r="K125" s="90">
        <v>-5026041.32</v>
      </c>
    </row>
    <row r="126" spans="5:11" x14ac:dyDescent="0.3">
      <c r="E126" s="8" t="s">
        <v>45</v>
      </c>
      <c r="F126" s="90">
        <v>2736405.5</v>
      </c>
      <c r="G126" s="90">
        <v>1294128.48</v>
      </c>
      <c r="H126" s="90">
        <v>2027999.09</v>
      </c>
      <c r="I126" s="90">
        <v>-1300954.25</v>
      </c>
      <c r="J126" s="90">
        <v>-1028037.3</v>
      </c>
      <c r="K126" s="90">
        <v>3229500.76</v>
      </c>
    </row>
    <row r="127" spans="5:11" ht="15" customHeight="1" x14ac:dyDescent="0.3">
      <c r="E127" s="18" t="s">
        <v>91</v>
      </c>
      <c r="F127" s="90">
        <v>12394837.85</v>
      </c>
      <c r="G127" s="90">
        <v>11720665.050000001</v>
      </c>
      <c r="H127" s="90">
        <v>11748424.73</v>
      </c>
      <c r="I127" s="90">
        <v>12096809.25</v>
      </c>
      <c r="J127" s="90">
        <v>11993600.359999999</v>
      </c>
      <c r="K127" s="90">
        <v>12625118.25</v>
      </c>
    </row>
    <row r="128" spans="5:11" ht="15" customHeight="1" x14ac:dyDescent="0.3">
      <c r="E128" s="8" t="s">
        <v>46</v>
      </c>
      <c r="F128" s="90">
        <v>38253.85</v>
      </c>
      <c r="G128" s="90">
        <v>38253.85</v>
      </c>
      <c r="H128" s="90">
        <v>38253.85</v>
      </c>
      <c r="I128" s="90">
        <v>38253.85</v>
      </c>
      <c r="J128" s="90">
        <v>38253.85</v>
      </c>
      <c r="K128" s="90">
        <v>38253.85</v>
      </c>
    </row>
    <row r="129" spans="5:11" ht="15" customHeight="1" x14ac:dyDescent="0.3">
      <c r="E129" s="17" t="s">
        <v>89</v>
      </c>
      <c r="F129" s="90">
        <v>735466.72</v>
      </c>
      <c r="G129" s="107">
        <v>0</v>
      </c>
      <c r="H129" s="107">
        <v>0</v>
      </c>
      <c r="I129" s="107">
        <v>0</v>
      </c>
      <c r="J129" s="90">
        <v>8000</v>
      </c>
      <c r="K129" s="90">
        <v>34636.19</v>
      </c>
    </row>
    <row r="130" spans="5:11" ht="15" customHeight="1" x14ac:dyDescent="0.3">
      <c r="E130" s="17" t="s">
        <v>90</v>
      </c>
      <c r="F130" s="90">
        <v>4760643.8600000003</v>
      </c>
      <c r="G130" s="90">
        <v>4753639.55</v>
      </c>
      <c r="H130" s="90">
        <v>4949074.24</v>
      </c>
      <c r="I130" s="90">
        <v>4897689.09</v>
      </c>
      <c r="J130" s="90">
        <v>4810209.5</v>
      </c>
      <c r="K130" s="90">
        <v>5105633.5199999996</v>
      </c>
    </row>
    <row r="131" spans="5:11" ht="15" customHeight="1" x14ac:dyDescent="0.3">
      <c r="E131" s="17" t="s">
        <v>88</v>
      </c>
      <c r="F131" s="90">
        <v>6860473.4199999999</v>
      </c>
      <c r="G131" s="90">
        <v>6928771.6500000004</v>
      </c>
      <c r="H131" s="90">
        <v>6761096.6399999997</v>
      </c>
      <c r="I131" s="90">
        <v>7160866.3099999996</v>
      </c>
      <c r="J131" s="90">
        <v>7137137.0099999998</v>
      </c>
      <c r="K131" s="90">
        <v>7446594.6900000004</v>
      </c>
    </row>
    <row r="132" spans="5:11" x14ac:dyDescent="0.3">
      <c r="E132" s="7" t="s">
        <v>47</v>
      </c>
      <c r="F132" s="90">
        <v>33492618.690000001</v>
      </c>
      <c r="G132" s="90">
        <v>30246675.039999999</v>
      </c>
      <c r="H132" s="90">
        <v>29149530.84</v>
      </c>
      <c r="I132" s="90">
        <v>27411597.5</v>
      </c>
      <c r="J132" s="90">
        <v>28688446.280000001</v>
      </c>
      <c r="K132" s="90">
        <v>30363223.289999999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B6C12-468D-4297-BB5B-0ABA0736A322}">
  <sheetPr>
    <tabColor theme="5" tint="0.79998168889431442"/>
  </sheetPr>
  <dimension ref="A1:L177"/>
  <sheetViews>
    <sheetView topLeftCell="A162" workbookViewId="0">
      <selection sqref="A1:L181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416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0.11441902599784061</v>
      </c>
      <c r="B4" s="139">
        <f>MAX(F4:K4)</f>
        <v>0.25428961275875245</v>
      </c>
      <c r="C4" s="155">
        <f>AVERAGE(F4:K4)</f>
        <v>0.16933298181791934</v>
      </c>
      <c r="D4" s="156">
        <f>MEDIAN(F4:K4)</f>
        <v>0.16575975794749154</v>
      </c>
      <c r="E4" s="47" t="s">
        <v>364</v>
      </c>
      <c r="F4" s="71">
        <f>SUM(F9:F12)/SUM(F13:F15)</f>
        <v>0.25428961275875245</v>
      </c>
      <c r="G4" s="71">
        <f t="shared" ref="G4:K4" si="0">SUM(G9:G12)/SUM(G13:G15)</f>
        <v>0.19636175516703719</v>
      </c>
      <c r="H4" s="71">
        <f t="shared" si="0"/>
        <v>0.18257204901461549</v>
      </c>
      <c r="I4" s="71">
        <f t="shared" si="0"/>
        <v>0.14894746688036761</v>
      </c>
      <c r="J4" s="71">
        <f t="shared" si="0"/>
        <v>0.1194079810889026</v>
      </c>
      <c r="K4" s="71">
        <f t="shared" si="0"/>
        <v>0.11441902599784061</v>
      </c>
    </row>
    <row r="5" spans="1:11" s="43" customFormat="1" ht="13.2" x14ac:dyDescent="0.25">
      <c r="A5" s="139">
        <f t="shared" ref="A5:A7" si="1">MIN(F5:K5)</f>
        <v>6.424497482662467</v>
      </c>
      <c r="B5" s="139">
        <f t="shared" ref="B5:B7" si="2">MAX(F5:K5)</f>
        <v>630.79286128845035</v>
      </c>
      <c r="C5" s="155">
        <f t="shared" ref="C5:C7" si="3">AVERAGEIF(F5:K5,"&gt;0")</f>
        <v>137.95174095899702</v>
      </c>
      <c r="D5" s="156">
        <f t="shared" ref="D5:D7" si="4">_xlfn.AGGREGATE(12,6,F5:K5)</f>
        <v>38.629810899362042</v>
      </c>
      <c r="E5" s="47" t="s">
        <v>363</v>
      </c>
      <c r="F5" s="71">
        <f t="shared" ref="F5:K5" si="5">SUM(F9:F12)/F14</f>
        <v>10.367069614311328</v>
      </c>
      <c r="G5" s="71">
        <f t="shared" si="5"/>
        <v>630.79286128845035</v>
      </c>
      <c r="H5" s="71">
        <f t="shared" si="5"/>
        <v>102.86639556983397</v>
      </c>
      <c r="I5" s="71">
        <f t="shared" si="5"/>
        <v>6.424497482662467</v>
      </c>
      <c r="J5" s="71">
        <f t="shared" si="5"/>
        <v>46.898017951685816</v>
      </c>
      <c r="K5" s="71">
        <f t="shared" si="5"/>
        <v>30.361603847038271</v>
      </c>
    </row>
    <row r="6" spans="1:11" s="43" customFormat="1" ht="13.2" x14ac:dyDescent="0.25">
      <c r="A6" s="139">
        <f t="shared" si="1"/>
        <v>5.1639287272164305</v>
      </c>
      <c r="B6" s="139">
        <f t="shared" si="2"/>
        <v>609.6433836331978</v>
      </c>
      <c r="C6" s="155">
        <f t="shared" si="3"/>
        <v>132.55589355126131</v>
      </c>
      <c r="D6" s="156">
        <f t="shared" si="4"/>
        <v>36.776292285434543</v>
      </c>
      <c r="E6" s="47" t="s">
        <v>365</v>
      </c>
      <c r="F6" s="71">
        <f t="shared" ref="F6:K6" si="6">SUM(F10:F11)/F14</f>
        <v>10.097588193250697</v>
      </c>
      <c r="G6" s="71">
        <f t="shared" si="6"/>
        <v>609.6433836331978</v>
      </c>
      <c r="H6" s="71">
        <f t="shared" si="6"/>
        <v>96.877876183033777</v>
      </c>
      <c r="I6" s="71">
        <f t="shared" si="6"/>
        <v>5.1639287272164305</v>
      </c>
      <c r="J6" s="71">
        <f t="shared" si="6"/>
        <v>44.727891878063318</v>
      </c>
      <c r="K6" s="71">
        <f t="shared" si="6"/>
        <v>28.824692692805765</v>
      </c>
    </row>
    <row r="7" spans="1:11" s="43" customFormat="1" ht="13.8" thickBot="1" x14ac:dyDescent="0.3">
      <c r="A7" s="139">
        <f t="shared" si="1"/>
        <v>3.5835484434489073</v>
      </c>
      <c r="B7" s="139">
        <f t="shared" si="2"/>
        <v>326.04901334881021</v>
      </c>
      <c r="C7" s="155">
        <f t="shared" si="3"/>
        <v>73.456953951567939</v>
      </c>
      <c r="D7" s="156">
        <f t="shared" si="4"/>
        <v>20.256540529628488</v>
      </c>
      <c r="E7" s="49" t="s">
        <v>366</v>
      </c>
      <c r="F7" s="73">
        <f t="shared" ref="F7:K7" si="7">F11/F14</f>
        <v>6.1571355306939912</v>
      </c>
      <c r="G7" s="73">
        <f t="shared" si="7"/>
        <v>326.04901334881021</v>
      </c>
      <c r="H7" s="73">
        <f t="shared" si="7"/>
        <v>64.438945327197473</v>
      </c>
      <c r="I7" s="73">
        <f t="shared" si="7"/>
        <v>3.5835484434489073</v>
      </c>
      <c r="J7" s="73">
        <f t="shared" si="7"/>
        <v>23.824489044604665</v>
      </c>
      <c r="K7" s="73">
        <f t="shared" si="7"/>
        <v>16.688592014652311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7242.24</v>
      </c>
      <c r="G9" s="76">
        <f t="shared" ref="G9:K12" si="8">G115</f>
        <v>7242.24</v>
      </c>
      <c r="H9" s="76">
        <f t="shared" si="8"/>
        <v>12368.58</v>
      </c>
      <c r="I9" s="76">
        <f t="shared" si="8"/>
        <v>6344.91</v>
      </c>
      <c r="J9" s="76">
        <f t="shared" si="8"/>
        <v>5308.09</v>
      </c>
      <c r="K9" s="76">
        <f t="shared" si="8"/>
        <v>5134.93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106569.03</v>
      </c>
      <c r="G10" s="76">
        <f t="shared" si="8"/>
        <v>97726.62</v>
      </c>
      <c r="H10" s="76">
        <f t="shared" si="8"/>
        <v>67247.850000000006</v>
      </c>
      <c r="I10" s="76">
        <f t="shared" si="8"/>
        <v>45323.9</v>
      </c>
      <c r="J10" s="76">
        <f t="shared" si="8"/>
        <v>67001.05</v>
      </c>
      <c r="K10" s="76">
        <f t="shared" si="8"/>
        <v>60165.69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166518.93</v>
      </c>
      <c r="G11" s="76">
        <f t="shared" si="8"/>
        <v>112356.49</v>
      </c>
      <c r="H11" s="76">
        <f t="shared" si="8"/>
        <v>133585.79999999999</v>
      </c>
      <c r="I11" s="76">
        <f t="shared" si="8"/>
        <v>102772.98</v>
      </c>
      <c r="J11" s="76">
        <f t="shared" si="8"/>
        <v>76363.92</v>
      </c>
      <c r="K11" s="76">
        <f t="shared" si="8"/>
        <v>82735.03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45.85</v>
      </c>
      <c r="G12" s="76">
        <f t="shared" si="8"/>
        <v>45.87</v>
      </c>
      <c r="H12" s="76">
        <f t="shared" si="8"/>
        <v>45.98</v>
      </c>
      <c r="I12" s="76">
        <f t="shared" si="8"/>
        <v>29807.08</v>
      </c>
      <c r="J12" s="76">
        <f t="shared" si="8"/>
        <v>1647.75</v>
      </c>
      <c r="K12" s="76">
        <f t="shared" si="8"/>
        <v>2484.4299999999998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27044.87</v>
      </c>
      <c r="G14" s="76">
        <f t="shared" ref="G14:K15" si="10">G130</f>
        <v>344.6</v>
      </c>
      <c r="H14" s="76">
        <f t="shared" si="10"/>
        <v>2073.06</v>
      </c>
      <c r="I14" s="76">
        <f t="shared" si="10"/>
        <v>28679.11</v>
      </c>
      <c r="J14" s="76">
        <f t="shared" si="10"/>
        <v>3205.27</v>
      </c>
      <c r="K14" s="76">
        <f t="shared" si="10"/>
        <v>4957.58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1075540.67</v>
      </c>
      <c r="G15" s="76">
        <f t="shared" si="10"/>
        <v>1106649.07</v>
      </c>
      <c r="H15" s="76">
        <f t="shared" si="10"/>
        <v>1165949.1599999999</v>
      </c>
      <c r="I15" s="76">
        <f t="shared" si="10"/>
        <v>1208326.6200000001</v>
      </c>
      <c r="J15" s="76">
        <f t="shared" si="10"/>
        <v>1255678.8400000001</v>
      </c>
      <c r="K15" s="76">
        <f t="shared" si="10"/>
        <v>1310558.6000000001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119.33528056750886</v>
      </c>
      <c r="B19" s="152">
        <f t="shared" ref="B19:B25" si="12">MAX(F19:K19)</f>
        <v>217.2416885916831</v>
      </c>
      <c r="C19" s="156">
        <f>AVERAGE(F19:K19)</f>
        <v>161.14218587232594</v>
      </c>
      <c r="D19" s="156">
        <f>MEDIAN(F19:K19)</f>
        <v>157.4507097937138</v>
      </c>
      <c r="E19" s="47" t="s">
        <v>293</v>
      </c>
      <c r="F19" s="71">
        <f>F28/(F27/365)</f>
        <v>145.66406883690274</v>
      </c>
      <c r="G19" s="71">
        <f t="shared" ref="G19:K19" si="13">G28/(G27/365)</f>
        <v>217.2416885916831</v>
      </c>
      <c r="H19" s="71">
        <f t="shared" si="13"/>
        <v>119.33528056750886</v>
      </c>
      <c r="I19" s="71">
        <f t="shared" si="13"/>
        <v>169.71065765043318</v>
      </c>
      <c r="J19" s="71">
        <f t="shared" si="13"/>
        <v>163.72026085306729</v>
      </c>
      <c r="K19" s="71">
        <f t="shared" si="13"/>
        <v>151.18115873436031</v>
      </c>
    </row>
    <row r="20" spans="1:11" s="43" customFormat="1" ht="13.2" x14ac:dyDescent="0.25">
      <c r="A20" s="152">
        <f t="shared" si="11"/>
        <v>9.8990686683867768</v>
      </c>
      <c r="B20" s="152">
        <f t="shared" si="12"/>
        <v>23.757859514137355</v>
      </c>
      <c r="C20" s="156">
        <f t="shared" ref="C20:C25" si="14">AVERAGE(F20:K20)</f>
        <v>16.263035733277938</v>
      </c>
      <c r="D20" s="156">
        <f t="shared" ref="D20:D25" si="15">MEDIAN(F20:K20)</f>
        <v>14.534865295383502</v>
      </c>
      <c r="E20" s="121" t="s">
        <v>367</v>
      </c>
      <c r="F20" s="71">
        <f>F29/(F27/365)</f>
        <v>9.8990686683867768</v>
      </c>
      <c r="G20" s="71">
        <f t="shared" ref="G20:K20" si="16">G29/(G27/365)</f>
        <v>16.099159541036322</v>
      </c>
      <c r="H20" s="71">
        <f t="shared" si="16"/>
        <v>21.948775529948968</v>
      </c>
      <c r="I20" s="71">
        <f t="shared" si="16"/>
        <v>23.757859514137355</v>
      </c>
      <c r="J20" s="71">
        <f t="shared" si="16"/>
        <v>12.970571049730683</v>
      </c>
      <c r="K20" s="71">
        <f t="shared" si="16"/>
        <v>12.902780096427529</v>
      </c>
    </row>
    <row r="21" spans="1:11" s="43" customFormat="1" ht="13.2" x14ac:dyDescent="0.25">
      <c r="A21" s="152">
        <f t="shared" si="11"/>
        <v>0.76602962313332856</v>
      </c>
      <c r="B21" s="152">
        <f t="shared" si="12"/>
        <v>107.38596234942524</v>
      </c>
      <c r="C21" s="156">
        <f t="shared" si="14"/>
        <v>28.181077113844381</v>
      </c>
      <c r="D21" s="156">
        <f t="shared" si="15"/>
        <v>10.144687255230092</v>
      </c>
      <c r="E21" s="47" t="s">
        <v>368</v>
      </c>
      <c r="F21" s="71">
        <f>F30/(F27/365)</f>
        <v>36.966328823346572</v>
      </c>
      <c r="G21" s="71">
        <f t="shared" ref="G21:K21" si="17">G30/(G27/365)</f>
        <v>0.76602962313332856</v>
      </c>
      <c r="H21" s="71">
        <f t="shared" si="17"/>
        <v>3.6787673767009639</v>
      </c>
      <c r="I21" s="71">
        <f t="shared" si="17"/>
        <v>107.38596234942524</v>
      </c>
      <c r="J21" s="71">
        <f t="shared" si="17"/>
        <v>7.8322300994463667</v>
      </c>
      <c r="K21" s="71">
        <f t="shared" si="17"/>
        <v>12.457144411013818</v>
      </c>
    </row>
    <row r="22" spans="1:11" s="43" customFormat="1" ht="13.2" x14ac:dyDescent="0.25">
      <c r="A22" s="152">
        <f t="shared" si="11"/>
        <v>86.082554815145286</v>
      </c>
      <c r="B22" s="152">
        <f t="shared" si="12"/>
        <v>232.57481850958609</v>
      </c>
      <c r="C22" s="156">
        <f t="shared" si="14"/>
        <v>149.22414449175946</v>
      </c>
      <c r="D22" s="156">
        <f t="shared" si="15"/>
        <v>144.61604157026545</v>
      </c>
      <c r="E22" s="47" t="s">
        <v>294</v>
      </c>
      <c r="F22" s="71">
        <f>F19+F20-F21</f>
        <v>118.59680868194295</v>
      </c>
      <c r="G22" s="71">
        <f t="shared" ref="G22:K22" si="18">G19+G20-G21</f>
        <v>232.57481850958609</v>
      </c>
      <c r="H22" s="71">
        <f t="shared" si="18"/>
        <v>137.60528872075687</v>
      </c>
      <c r="I22" s="71">
        <f t="shared" si="18"/>
        <v>86.082554815145286</v>
      </c>
      <c r="J22" s="71">
        <f t="shared" si="18"/>
        <v>168.8586018033516</v>
      </c>
      <c r="K22" s="71">
        <f t="shared" si="18"/>
        <v>151.62679441977403</v>
      </c>
    </row>
    <row r="23" spans="1:11" s="43" customFormat="1" ht="13.2" x14ac:dyDescent="0.25">
      <c r="A23" s="152">
        <f t="shared" si="11"/>
        <v>4.8602611819137873E-2</v>
      </c>
      <c r="B23" s="152">
        <f t="shared" si="12"/>
        <v>0.13796115548022853</v>
      </c>
      <c r="C23" s="156">
        <f t="shared" si="14"/>
        <v>8.651728538754945E-2</v>
      </c>
      <c r="D23" s="156">
        <f t="shared" si="15"/>
        <v>7.9445476522665537E-2</v>
      </c>
      <c r="E23" s="47" t="s">
        <v>295</v>
      </c>
      <c r="F23" s="71">
        <f>F27/F31</f>
        <v>0.13796115548022853</v>
      </c>
      <c r="G23" s="71">
        <f t="shared" ref="G23:K23" si="19">G27/G31</f>
        <v>8.5249011028972685E-2</v>
      </c>
      <c r="H23" s="71">
        <f t="shared" si="19"/>
        <v>0.10398797319366354</v>
      </c>
      <c r="I23" s="71">
        <f t="shared" si="19"/>
        <v>4.8602611819137873E-2</v>
      </c>
      <c r="J23" s="71">
        <f t="shared" si="19"/>
        <v>7.3641942016358375E-2</v>
      </c>
      <c r="K23" s="71">
        <f t="shared" si="19"/>
        <v>6.9661018786935744E-2</v>
      </c>
    </row>
    <row r="24" spans="1:11" s="43" customFormat="1" ht="13.2" x14ac:dyDescent="0.25">
      <c r="A24" s="152">
        <f t="shared" si="11"/>
        <v>5.3519190034777293E-2</v>
      </c>
      <c r="B24" s="152">
        <f t="shared" si="12"/>
        <v>0.16133026368206596</v>
      </c>
      <c r="C24" s="156">
        <f t="shared" si="14"/>
        <v>9.701902239302608E-2</v>
      </c>
      <c r="D24" s="156">
        <f t="shared" si="15"/>
        <v>8.7815101947197188E-2</v>
      </c>
      <c r="E24" s="121" t="s">
        <v>369</v>
      </c>
      <c r="F24" s="71">
        <f>F27/F32</f>
        <v>0.16133026368206596</v>
      </c>
      <c r="G24" s="71">
        <f t="shared" ref="G24:K24" si="20">G27/G32</f>
        <v>9.609388674015501E-2</v>
      </c>
      <c r="H24" s="71">
        <f t="shared" si="20"/>
        <v>0.11655384753824538</v>
      </c>
      <c r="I24" s="71">
        <f t="shared" si="20"/>
        <v>5.3519190034777293E-2</v>
      </c>
      <c r="J24" s="71">
        <f t="shared" si="20"/>
        <v>7.9536317154239353E-2</v>
      </c>
      <c r="K24" s="71">
        <f t="shared" si="20"/>
        <v>7.508062920867356E-2</v>
      </c>
    </row>
    <row r="25" spans="1:11" s="43" customFormat="1" ht="13.8" thickBot="1" x14ac:dyDescent="0.3">
      <c r="A25" s="152">
        <f t="shared" si="11"/>
        <v>0.52906153508566967</v>
      </c>
      <c r="B25" s="152">
        <f t="shared" si="12"/>
        <v>0.99369461886215216</v>
      </c>
      <c r="C25" s="156">
        <f t="shared" si="14"/>
        <v>0.86002240859245982</v>
      </c>
      <c r="D25" s="156">
        <f t="shared" si="15"/>
        <v>0.95847863191150084</v>
      </c>
      <c r="E25" s="49" t="s">
        <v>296</v>
      </c>
      <c r="F25" s="73">
        <f>F27/F33</f>
        <v>0.95242443140204025</v>
      </c>
      <c r="G25" s="73">
        <f t="shared" ref="G25:K25" si="21">G27/G33</f>
        <v>0.75537138725172537</v>
      </c>
      <c r="H25" s="73">
        <f t="shared" si="21"/>
        <v>0.96453283242096144</v>
      </c>
      <c r="I25" s="73">
        <f t="shared" si="21"/>
        <v>0.52906153508566967</v>
      </c>
      <c r="J25" s="73">
        <f t="shared" si="21"/>
        <v>0.99369461886215216</v>
      </c>
      <c r="K25" s="73">
        <f t="shared" si="21"/>
        <v>0.96504964653221026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267037</v>
      </c>
      <c r="G27" s="76">
        <f t="shared" ref="G27:K27" si="22">G93+G86</f>
        <v>164196</v>
      </c>
      <c r="H27" s="76">
        <f t="shared" si="22"/>
        <v>205684.9</v>
      </c>
      <c r="I27" s="76">
        <f t="shared" si="22"/>
        <v>97478.989999999991</v>
      </c>
      <c r="J27" s="76">
        <f t="shared" si="22"/>
        <v>149372.97999999998</v>
      </c>
      <c r="K27" s="76">
        <f t="shared" si="22"/>
        <v>145259.35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106569.03</v>
      </c>
      <c r="G28" s="76">
        <f t="shared" ref="G28:K28" si="23">G116</f>
        <v>97726.62</v>
      </c>
      <c r="H28" s="76">
        <f t="shared" si="23"/>
        <v>67247.850000000006</v>
      </c>
      <c r="I28" s="76">
        <f t="shared" si="23"/>
        <v>45323.9</v>
      </c>
      <c r="J28" s="76">
        <f t="shared" si="23"/>
        <v>67001.05</v>
      </c>
      <c r="K28" s="76">
        <f t="shared" si="23"/>
        <v>60165.69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7242.24</v>
      </c>
      <c r="G29" s="76">
        <f t="shared" ref="G29:K29" si="24">G115</f>
        <v>7242.24</v>
      </c>
      <c r="H29" s="76">
        <f t="shared" si="24"/>
        <v>12368.58</v>
      </c>
      <c r="I29" s="76">
        <f t="shared" si="24"/>
        <v>6344.91</v>
      </c>
      <c r="J29" s="76">
        <f t="shared" si="24"/>
        <v>5308.09</v>
      </c>
      <c r="K29" s="76">
        <f t="shared" si="24"/>
        <v>5134.93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27044.87</v>
      </c>
      <c r="G30" s="76">
        <f t="shared" ref="G30:K30" si="25">G130</f>
        <v>344.6</v>
      </c>
      <c r="H30" s="76">
        <f t="shared" si="25"/>
        <v>2073.06</v>
      </c>
      <c r="I30" s="76">
        <f t="shared" si="25"/>
        <v>28679.11</v>
      </c>
      <c r="J30" s="76">
        <f t="shared" si="25"/>
        <v>3205.27</v>
      </c>
      <c r="K30" s="76">
        <f t="shared" si="25"/>
        <v>4957.58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1935595.56</v>
      </c>
      <c r="G31" s="76">
        <f t="shared" ref="G31:K31" si="26">G120</f>
        <v>1926075.13</v>
      </c>
      <c r="H31" s="76">
        <f t="shared" si="26"/>
        <v>1977968.16</v>
      </c>
      <c r="I31" s="76">
        <f t="shared" si="26"/>
        <v>2005632.75</v>
      </c>
      <c r="J31" s="76">
        <f t="shared" si="26"/>
        <v>2028368.29</v>
      </c>
      <c r="K31" s="76">
        <f t="shared" si="26"/>
        <v>2085231.49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1655219.51</v>
      </c>
      <c r="G32" s="76">
        <f t="shared" ref="G32:K32" si="27">G108</f>
        <v>1708703.91</v>
      </c>
      <c r="H32" s="76">
        <f t="shared" si="27"/>
        <v>1764719.95</v>
      </c>
      <c r="I32" s="76">
        <f t="shared" si="27"/>
        <v>1821383.88</v>
      </c>
      <c r="J32" s="76">
        <f t="shared" si="27"/>
        <v>1878047.48</v>
      </c>
      <c r="K32" s="76">
        <f t="shared" si="27"/>
        <v>1934711.41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280376.05</v>
      </c>
      <c r="G33" s="76">
        <f t="shared" ref="G33:K33" si="28">G114</f>
        <v>217371.22</v>
      </c>
      <c r="H33" s="76">
        <f t="shared" si="28"/>
        <v>213248.21</v>
      </c>
      <c r="I33" s="76">
        <f t="shared" si="28"/>
        <v>184248.87</v>
      </c>
      <c r="J33" s="76">
        <f t="shared" si="28"/>
        <v>150320.81</v>
      </c>
      <c r="K33" s="76">
        <f t="shared" si="28"/>
        <v>150520.07999999999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1.7891306244113129E-4</v>
      </c>
      <c r="B37" s="139">
        <f t="shared" ref="B37:B41" si="30">MAX(F37:K37)</f>
        <v>2.1618612309691389E-2</v>
      </c>
      <c r="C37" s="160">
        <f t="shared" ref="C37:C41" si="31">AVERAGE(F37:K37)</f>
        <v>6.8504294852810748E-3</v>
      </c>
      <c r="D37" s="160">
        <f t="shared" ref="D37:D41" si="32">MEDIAN(F37:K37)</f>
        <v>1.9788465831361798E-3</v>
      </c>
      <c r="E37" s="47" t="s">
        <v>370</v>
      </c>
      <c r="F37" s="119">
        <f>F43/F44*100%</f>
        <v>2.1618612309691389E-2</v>
      </c>
      <c r="G37" s="119">
        <f t="shared" ref="G37:K37" si="33">G43/G44*100%</f>
        <v>1.7891306244113129E-4</v>
      </c>
      <c r="H37" s="119">
        <f t="shared" si="33"/>
        <v>1.0480755160386403E-3</v>
      </c>
      <c r="I37" s="119">
        <f t="shared" si="33"/>
        <v>1.4299282857242933E-2</v>
      </c>
      <c r="J37" s="119">
        <f t="shared" si="33"/>
        <v>1.580220917375907E-3</v>
      </c>
      <c r="K37" s="119">
        <f t="shared" si="33"/>
        <v>2.3774722488964523E-3</v>
      </c>
    </row>
    <row r="38" spans="1:11" s="43" customFormat="1" ht="13.2" x14ac:dyDescent="0.25">
      <c r="A38" s="139">
        <f t="shared" si="29"/>
        <v>4.2071517526474109E-4</v>
      </c>
      <c r="B38" s="139">
        <f t="shared" si="30"/>
        <v>5.1141992886911673E-2</v>
      </c>
      <c r="C38" s="155">
        <f t="shared" si="31"/>
        <v>1.7006769368414203E-2</v>
      </c>
      <c r="D38" s="156">
        <f t="shared" si="32"/>
        <v>5.303137836184791E-3</v>
      </c>
      <c r="E38" s="50" t="s">
        <v>298</v>
      </c>
      <c r="F38" s="122">
        <f>F43/F45</f>
        <v>5.1141992886911673E-2</v>
      </c>
      <c r="G38" s="122">
        <f t="shared" ref="G38:K38" si="34">G43/G45</f>
        <v>4.2071517526474109E-4</v>
      </c>
      <c r="H38" s="122">
        <f t="shared" si="34"/>
        <v>2.5595041565366697E-3</v>
      </c>
      <c r="I38" s="122">
        <f t="shared" si="34"/>
        <v>3.731212831940256E-2</v>
      </c>
      <c r="J38" s="122">
        <f t="shared" si="34"/>
        <v>4.1654787496735795E-3</v>
      </c>
      <c r="K38" s="122">
        <f t="shared" si="34"/>
        <v>6.4407969226960024E-3</v>
      </c>
    </row>
    <row r="39" spans="1:11" s="43" customFormat="1" ht="13.2" x14ac:dyDescent="0.25">
      <c r="A39" s="139">
        <f t="shared" si="29"/>
        <v>2.3515061981747212</v>
      </c>
      <c r="B39" s="139">
        <f t="shared" si="30"/>
        <v>2.7090944702658959</v>
      </c>
      <c r="C39" s="155">
        <f t="shared" si="31"/>
        <v>2.5189545111537499</v>
      </c>
      <c r="D39" s="156">
        <f t="shared" si="32"/>
        <v>2.5257347948186863</v>
      </c>
      <c r="E39" s="50" t="s">
        <v>299</v>
      </c>
      <c r="F39" s="122">
        <f>F44/F45</f>
        <v>2.3656464232898644</v>
      </c>
      <c r="G39" s="122">
        <f t="shared" ref="G39:K39" si="35">G44/G45</f>
        <v>2.3515061981747212</v>
      </c>
      <c r="H39" s="122">
        <f t="shared" si="35"/>
        <v>2.4420989874953878</v>
      </c>
      <c r="I39" s="122">
        <f t="shared" si="35"/>
        <v>2.6093706021419854</v>
      </c>
      <c r="J39" s="122">
        <f t="shared" si="35"/>
        <v>2.6360103855546453</v>
      </c>
      <c r="K39" s="122">
        <f t="shared" si="35"/>
        <v>2.7090944702658959</v>
      </c>
    </row>
    <row r="40" spans="1:11" s="43" customFormat="1" ht="13.2" x14ac:dyDescent="0.25">
      <c r="A40" s="139">
        <f t="shared" si="29"/>
        <v>0</v>
      </c>
      <c r="B40" s="139">
        <f t="shared" si="30"/>
        <v>7.646235766318869E-3</v>
      </c>
      <c r="C40" s="160">
        <f t="shared" si="31"/>
        <v>1.2743726277198114E-3</v>
      </c>
      <c r="D40" s="160">
        <f t="shared" si="32"/>
        <v>0</v>
      </c>
      <c r="E40" s="77" t="s">
        <v>371</v>
      </c>
      <c r="F40" s="119">
        <f>F46/F44*100%</f>
        <v>7.646235766318869E-3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-562.73170731707319</v>
      </c>
      <c r="B41" s="139">
        <f t="shared" si="30"/>
        <v>615.35911230665783</v>
      </c>
      <c r="C41" s="155">
        <f t="shared" si="31"/>
        <v>65.638994130487532</v>
      </c>
      <c r="D41" s="156">
        <f t="shared" si="32"/>
        <v>0.71305090136082894</v>
      </c>
      <c r="E41" s="51" t="s">
        <v>300</v>
      </c>
      <c r="F41" s="123">
        <f>(F47+F48)/F48</f>
        <v>-24.836347465164543</v>
      </c>
      <c r="G41" s="123">
        <f t="shared" ref="G41:K41" si="37">(G47+G48)/G48</f>
        <v>615.35911230665783</v>
      </c>
      <c r="H41" s="171"/>
      <c r="I41" s="123">
        <f t="shared" si="37"/>
        <v>0.71305090136082894</v>
      </c>
      <c r="J41" s="123">
        <f t="shared" si="37"/>
        <v>-562.73170731707319</v>
      </c>
      <c r="K41" s="123">
        <f t="shared" si="37"/>
        <v>299.69086222665669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41844.89</v>
      </c>
      <c r="G43" s="76">
        <f t="shared" ref="G43:K43" si="38">G129+G130</f>
        <v>344.6</v>
      </c>
      <c r="H43" s="76">
        <f t="shared" si="38"/>
        <v>2073.06</v>
      </c>
      <c r="I43" s="76">
        <f t="shared" si="38"/>
        <v>28679.11</v>
      </c>
      <c r="J43" s="76">
        <f t="shared" si="38"/>
        <v>3205.27</v>
      </c>
      <c r="K43" s="76">
        <f t="shared" si="38"/>
        <v>4957.58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1935595.56</v>
      </c>
      <c r="G44" s="76">
        <f t="shared" ref="G44:K44" si="39">G120</f>
        <v>1926075.13</v>
      </c>
      <c r="H44" s="76">
        <f t="shared" si="39"/>
        <v>1977968.16</v>
      </c>
      <c r="I44" s="76">
        <f t="shared" si="39"/>
        <v>2005632.75</v>
      </c>
      <c r="J44" s="76">
        <f t="shared" si="39"/>
        <v>2028368.29</v>
      </c>
      <c r="K44" s="76">
        <f t="shared" si="39"/>
        <v>2085231.49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818210</v>
      </c>
      <c r="G45" s="76">
        <f t="shared" ref="G45:K45" si="40">G122</f>
        <v>819081.46</v>
      </c>
      <c r="H45" s="76">
        <f t="shared" si="40"/>
        <v>809945.94</v>
      </c>
      <c r="I45" s="76">
        <f t="shared" si="40"/>
        <v>768627.02</v>
      </c>
      <c r="J45" s="76">
        <f t="shared" si="40"/>
        <v>769484.18</v>
      </c>
      <c r="K45" s="76">
        <f t="shared" si="40"/>
        <v>769715.31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14800.02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-871.46</v>
      </c>
      <c r="G47" s="76">
        <f t="shared" ref="G47:K47" si="42">G102</f>
        <v>9135.52</v>
      </c>
      <c r="H47" s="76">
        <f t="shared" si="42"/>
        <v>41318.92</v>
      </c>
      <c r="I47" s="76">
        <f t="shared" si="42"/>
        <v>-857.16</v>
      </c>
      <c r="J47" s="76">
        <f t="shared" si="42"/>
        <v>-231.13</v>
      </c>
      <c r="K47" s="76">
        <f t="shared" si="42"/>
        <v>71847.100000000006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33.729999999999997</v>
      </c>
      <c r="G48" s="76">
        <f t="shared" ref="G48:K48" si="43">G101</f>
        <v>14.87</v>
      </c>
      <c r="H48" s="76">
        <f t="shared" si="43"/>
        <v>0</v>
      </c>
      <c r="I48" s="76">
        <f t="shared" si="43"/>
        <v>2987.15</v>
      </c>
      <c r="J48" s="76">
        <f t="shared" si="43"/>
        <v>0.41</v>
      </c>
      <c r="K48" s="76">
        <f t="shared" si="43"/>
        <v>240.54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-2.0999380745962939E-2</v>
      </c>
      <c r="B52" s="139">
        <f t="shared" ref="B52:B63" si="45">MAX(F52:K52)</f>
        <v>1.1641488622967233</v>
      </c>
      <c r="C52" s="160">
        <f t="shared" ref="C52:C63" si="46">AVERAGE(F52:K52)</f>
        <v>0.23589666402157813</v>
      </c>
      <c r="D52" s="160">
        <f t="shared" ref="D52:D63" si="47">MEDIAN(F52:K52)</f>
        <v>7.312573347490936E-2</v>
      </c>
      <c r="E52" s="50" t="s">
        <v>350</v>
      </c>
      <c r="F52" s="119">
        <f t="shared" ref="F52:K52" si="48">(F65/(F70+F71))*100%</f>
        <v>-9.8225448109655073E-3</v>
      </c>
      <c r="G52" s="119">
        <f t="shared" si="48"/>
        <v>0.13174297396913154</v>
      </c>
      <c r="H52" s="119">
        <f t="shared" si="48"/>
        <v>0.13580158043985513</v>
      </c>
      <c r="I52" s="119">
        <f t="shared" si="48"/>
        <v>1.4508492980687194E-2</v>
      </c>
      <c r="J52" s="119">
        <f t="shared" si="48"/>
        <v>-2.0999380745962939E-2</v>
      </c>
      <c r="K52" s="120">
        <f t="shared" si="48"/>
        <v>1.1641488622967233</v>
      </c>
    </row>
    <row r="53" spans="1:11" s="43" customFormat="1" ht="13.2" x14ac:dyDescent="0.25">
      <c r="A53" s="139">
        <f t="shared" si="44"/>
        <v>0.14772013883648985</v>
      </c>
      <c r="B53" s="139">
        <f t="shared" si="45"/>
        <v>0.83717749366505412</v>
      </c>
      <c r="C53" s="160">
        <f t="shared" si="46"/>
        <v>0.70941810449593701</v>
      </c>
      <c r="D53" s="160">
        <f t="shared" si="47"/>
        <v>0.81890108351351931</v>
      </c>
      <c r="E53" s="50" t="s">
        <v>351</v>
      </c>
      <c r="F53" s="119">
        <f>(F66/F70)*100%</f>
        <v>0.14772013883648985</v>
      </c>
      <c r="G53" s="119">
        <f t="shared" ref="G53:K53" si="49">(G66/G70)*100%</f>
        <v>0.83717749366505412</v>
      </c>
      <c r="H53" s="119">
        <f t="shared" si="49"/>
        <v>0.80923735455477175</v>
      </c>
      <c r="I53" s="119">
        <f t="shared" si="49"/>
        <v>0.82457147289226718</v>
      </c>
      <c r="J53" s="119">
        <f t="shared" si="49"/>
        <v>0.82043220756125057</v>
      </c>
      <c r="K53" s="120">
        <f t="shared" si="49"/>
        <v>0.81736995946578817</v>
      </c>
    </row>
    <row r="54" spans="1:11" s="43" customFormat="1" ht="13.2" x14ac:dyDescent="0.25">
      <c r="A54" s="139">
        <f t="shared" si="44"/>
        <v>8.1188061563848959E-2</v>
      </c>
      <c r="B54" s="139">
        <f t="shared" si="45"/>
        <v>0.13388081839856869</v>
      </c>
      <c r="C54" s="160">
        <f t="shared" si="46"/>
        <v>0.10554018209697628</v>
      </c>
      <c r="D54" s="160">
        <f t="shared" si="47"/>
        <v>0.10182610101208465</v>
      </c>
      <c r="E54" s="50" t="s">
        <v>342</v>
      </c>
      <c r="F54" s="119">
        <f>(F67/SUM(F72:F74))*100%</f>
        <v>0.1010507995530007</v>
      </c>
      <c r="G54" s="119">
        <f t="shared" ref="G54:K54" si="50">(G67/SUM(G72:G74))*100%</f>
        <v>8.275432653133391E-2</v>
      </c>
      <c r="H54" s="119">
        <f t="shared" si="50"/>
        <v>0.10260140247116861</v>
      </c>
      <c r="I54" s="119">
        <f t="shared" si="50"/>
        <v>0.13388081839856869</v>
      </c>
      <c r="J54" s="119">
        <f t="shared" si="50"/>
        <v>8.1188061563848959E-2</v>
      </c>
      <c r="K54" s="120">
        <f t="shared" si="50"/>
        <v>0.13176568406393682</v>
      </c>
    </row>
    <row r="55" spans="1:11" s="43" customFormat="1" ht="13.2" x14ac:dyDescent="0.25">
      <c r="A55" s="139">
        <f t="shared" si="44"/>
        <v>0</v>
      </c>
      <c r="B55" s="139">
        <f t="shared" si="45"/>
        <v>0.14924429569577025</v>
      </c>
      <c r="C55" s="160">
        <f t="shared" si="46"/>
        <v>8.419928337451614E-2</v>
      </c>
      <c r="D55" s="160">
        <f t="shared" si="47"/>
        <v>0.1127437082693116</v>
      </c>
      <c r="E55" s="50" t="s">
        <v>343</v>
      </c>
      <c r="F55" s="119">
        <f>((F72-F76)/F76)*100%</f>
        <v>0.12704681042727448</v>
      </c>
      <c r="G55" s="119">
        <f t="shared" ref="G55:K57" si="51">((G72-G76)/G76)*100%</f>
        <v>9.8440606111348722E-2</v>
      </c>
      <c r="H55" s="119">
        <f t="shared" si="51"/>
        <v>0.13046398801270342</v>
      </c>
      <c r="I55" s="119">
        <f t="shared" si="51"/>
        <v>0.14924429569577025</v>
      </c>
      <c r="J55" s="119">
        <f t="shared" si="51"/>
        <v>0</v>
      </c>
      <c r="K55" s="120">
        <f t="shared" si="51"/>
        <v>0</v>
      </c>
    </row>
    <row r="56" spans="1:11" s="43" customFormat="1" ht="13.2" x14ac:dyDescent="0.25">
      <c r="A56" s="139">
        <f t="shared" si="44"/>
        <v>-1.9820625992011176E-2</v>
      </c>
      <c r="B56" s="139">
        <f t="shared" si="45"/>
        <v>0</v>
      </c>
      <c r="C56" s="160">
        <f t="shared" si="46"/>
        <v>-4.6358387199551742E-3</v>
      </c>
      <c r="D56" s="160">
        <f t="shared" si="47"/>
        <v>-1.7168735436198462E-3</v>
      </c>
      <c r="E56" s="50" t="s">
        <v>344</v>
      </c>
      <c r="F56" s="119">
        <f>((F73-F77)/F77)*100%</f>
        <v>0</v>
      </c>
      <c r="G56" s="119">
        <f t="shared" si="51"/>
        <v>-1.4334499768118387E-3</v>
      </c>
      <c r="H56" s="119">
        <f t="shared" si="51"/>
        <v>0</v>
      </c>
      <c r="I56" s="119">
        <f t="shared" si="51"/>
        <v>-1.9820625992011176E-2</v>
      </c>
      <c r="J56" s="119">
        <f t="shared" si="51"/>
        <v>-2.0002971104278538E-3</v>
      </c>
      <c r="K56" s="120">
        <f t="shared" si="51"/>
        <v>-4.5606592404801739E-3</v>
      </c>
    </row>
    <row r="57" spans="1:11" s="43" customFormat="1" ht="13.2" x14ac:dyDescent="0.25">
      <c r="A57" s="139">
        <f t="shared" si="44"/>
        <v>0.74463093204247377</v>
      </c>
      <c r="B57" s="139">
        <f t="shared" si="45"/>
        <v>1.3606784760233044</v>
      </c>
      <c r="C57" s="160">
        <f t="shared" si="46"/>
        <v>1.0526547040328891</v>
      </c>
      <c r="D57" s="160">
        <f t="shared" si="47"/>
        <v>1.0526547040328891</v>
      </c>
      <c r="E57" s="50" t="s">
        <v>346</v>
      </c>
      <c r="F57" s="177"/>
      <c r="G57" s="177"/>
      <c r="H57" s="177"/>
      <c r="I57" s="177"/>
      <c r="J57" s="119">
        <f t="shared" si="51"/>
        <v>0.74463093204247377</v>
      </c>
      <c r="K57" s="120">
        <f t="shared" si="51"/>
        <v>1.3606784760233044</v>
      </c>
    </row>
    <row r="58" spans="1:11" s="43" customFormat="1" ht="13.2" x14ac:dyDescent="0.25">
      <c r="A58" s="139">
        <f t="shared" si="44"/>
        <v>-8.4978738065144891E-4</v>
      </c>
      <c r="B58" s="139">
        <f t="shared" si="45"/>
        <v>7.1421741391188051E-2</v>
      </c>
      <c r="C58" s="155">
        <f t="shared" si="46"/>
        <v>1.7907495575409056E-2</v>
      </c>
      <c r="D58" s="156">
        <f t="shared" si="47"/>
        <v>3.3270435934565109E-3</v>
      </c>
      <c r="E58" s="50" t="s">
        <v>356</v>
      </c>
      <c r="F58" s="71">
        <f>F68/(F70+F71+F72+F73+F74+F75)</f>
        <v>-5.2468899671734325E-4</v>
      </c>
      <c r="G58" s="71">
        <f t="shared" ref="G58:K58" si="52">G68/(G70+G71+G72+G73+G74)</f>
        <v>6.8885382138436169E-3</v>
      </c>
      <c r="H58" s="71">
        <f t="shared" si="52"/>
        <v>3.0743621251722052E-2</v>
      </c>
      <c r="I58" s="71">
        <f t="shared" si="52"/>
        <v>-8.4978738065144891E-4</v>
      </c>
      <c r="J58" s="71">
        <f t="shared" si="52"/>
        <v>-2.3445102693059512E-4</v>
      </c>
      <c r="K58" s="72">
        <f t="shared" si="52"/>
        <v>7.1421741391188051E-2</v>
      </c>
    </row>
    <row r="59" spans="1:11" s="43" customFormat="1" ht="13.2" x14ac:dyDescent="0.25">
      <c r="A59" s="139">
        <f t="shared" si="44"/>
        <v>-8.4878206269884857E-4</v>
      </c>
      <c r="B59" s="139">
        <f t="shared" si="45"/>
        <v>7.1421737841243171E-2</v>
      </c>
      <c r="C59" s="155">
        <f t="shared" si="46"/>
        <v>1.7907705720855926E-2</v>
      </c>
      <c r="D59" s="156">
        <f t="shared" si="47"/>
        <v>3.3271731457932578E-3</v>
      </c>
      <c r="E59" s="50" t="s">
        <v>361</v>
      </c>
      <c r="F59" s="71">
        <f>F69/(F70+F71+F72+F73+F74+F75)</f>
        <v>-5.2468899671734325E-4</v>
      </c>
      <c r="G59" s="71">
        <f t="shared" ref="G59:K59" si="53">G69/(G70+G71+G72+G73+G74+G75)</f>
        <v>6.8885379541323089E-3</v>
      </c>
      <c r="H59" s="71">
        <f t="shared" si="53"/>
        <v>3.0743621251722052E-2</v>
      </c>
      <c r="I59" s="71">
        <f t="shared" si="53"/>
        <v>-8.4878206269884857E-4</v>
      </c>
      <c r="J59" s="71">
        <f t="shared" si="53"/>
        <v>-2.3419166254579315E-4</v>
      </c>
      <c r="K59" s="72">
        <f t="shared" si="53"/>
        <v>7.1421737841243171E-2</v>
      </c>
    </row>
    <row r="60" spans="1:11" s="43" customFormat="1" ht="26.4" x14ac:dyDescent="0.25">
      <c r="A60" s="139">
        <f t="shared" si="44"/>
        <v>-6.5201177050544404E-4</v>
      </c>
      <c r="B60" s="139">
        <f t="shared" si="45"/>
        <v>3.4570545450567695E-2</v>
      </c>
      <c r="C60" s="160">
        <f t="shared" si="46"/>
        <v>7.6281653865806218E-3</v>
      </c>
      <c r="D60" s="160">
        <f t="shared" si="47"/>
        <v>2.6085508318072553E-3</v>
      </c>
      <c r="E60" s="50" t="s">
        <v>372</v>
      </c>
      <c r="F60" s="119">
        <f>F65/F79*100%</f>
        <v>-5.3905372669898045E-4</v>
      </c>
      <c r="G60" s="119">
        <f t="shared" ref="G60:K60" si="54">G65/G79*100%</f>
        <v>4.7507700283737119E-3</v>
      </c>
      <c r="H60" s="119">
        <f t="shared" si="54"/>
        <v>7.172410702505949E-3</v>
      </c>
      <c r="I60" s="119">
        <f t="shared" si="54"/>
        <v>4.6633163524079866E-4</v>
      </c>
      <c r="J60" s="119">
        <f t="shared" si="54"/>
        <v>-6.5201177050544404E-4</v>
      </c>
      <c r="K60" s="120">
        <f t="shared" si="54"/>
        <v>3.4570545450567695E-2</v>
      </c>
    </row>
    <row r="61" spans="1:11" s="43" customFormat="1" ht="13.2" x14ac:dyDescent="0.25">
      <c r="A61" s="139">
        <f t="shared" si="44"/>
        <v>-4.502283524560265E-4</v>
      </c>
      <c r="B61" s="139">
        <f t="shared" si="45"/>
        <v>3.445521532959394E-2</v>
      </c>
      <c r="C61" s="155">
        <f t="shared" si="46"/>
        <v>9.8493859063725764E-3</v>
      </c>
      <c r="D61" s="156">
        <f t="shared" si="47"/>
        <v>2.3145634449220176E-3</v>
      </c>
      <c r="E61" s="50" t="s">
        <v>373</v>
      </c>
      <c r="F61" s="71">
        <f>F69/F79</f>
        <v>-4.502283524560265E-4</v>
      </c>
      <c r="G61" s="71">
        <f t="shared" ref="G61:K61" si="55">G69/G79</f>
        <v>4.7430756244695406E-3</v>
      </c>
      <c r="H61" s="71">
        <f t="shared" si="55"/>
        <v>2.088957791919158E-2</v>
      </c>
      <c r="I61" s="71">
        <f t="shared" si="55"/>
        <v>-4.273763479380759E-4</v>
      </c>
      <c r="J61" s="71">
        <f t="shared" si="55"/>
        <v>-1.1394873462550531E-4</v>
      </c>
      <c r="K61" s="72">
        <f t="shared" si="55"/>
        <v>3.445521532959394E-2</v>
      </c>
    </row>
    <row r="62" spans="1:11" s="43" customFormat="1" ht="13.2" x14ac:dyDescent="0.25">
      <c r="A62" s="139">
        <f t="shared" si="44"/>
        <v>-1.0650810916512875E-3</v>
      </c>
      <c r="B62" s="139">
        <f t="shared" si="45"/>
        <v>7.0990497086822119E-2</v>
      </c>
      <c r="C62" s="155">
        <f t="shared" si="46"/>
        <v>5.6379684862876013E-2</v>
      </c>
      <c r="D62" s="156">
        <f t="shared" si="47"/>
        <v>6.6719416990570601E-2</v>
      </c>
      <c r="E62" s="50" t="s">
        <v>374</v>
      </c>
      <c r="F62" s="71">
        <f>F69/F80</f>
        <v>-1.0650810916512875E-3</v>
      </c>
      <c r="G62" s="71">
        <f>G66/G80</f>
        <v>7.0990497086822119E-2</v>
      </c>
      <c r="H62" s="71">
        <f>H66/H80</f>
        <v>6.6289955104904902E-2</v>
      </c>
      <c r="I62" s="71">
        <f>I66/I80</f>
        <v>6.9157079593689011E-2</v>
      </c>
      <c r="J62" s="71">
        <f>J66/J80</f>
        <v>6.7148878876236287E-2</v>
      </c>
      <c r="K62" s="72">
        <f>K66/K80</f>
        <v>6.5756779607255053E-2</v>
      </c>
    </row>
    <row r="63" spans="1:11" s="43" customFormat="1" ht="13.8" thickBot="1" x14ac:dyDescent="0.3">
      <c r="A63" s="139">
        <f t="shared" si="44"/>
        <v>-1.7187097985562224E-3</v>
      </c>
      <c r="B63" s="139">
        <f t="shared" si="45"/>
        <v>9.3654873514208772E-2</v>
      </c>
      <c r="C63" s="155">
        <f t="shared" si="46"/>
        <v>2.0097940649489585E-2</v>
      </c>
      <c r="D63" s="156">
        <f t="shared" si="47"/>
        <v>6.1941486138348094E-3</v>
      </c>
      <c r="E63" s="51" t="s">
        <v>302</v>
      </c>
      <c r="F63" s="73">
        <f t="shared" ref="F63:K63" si="56">F65/(F80+F81)</f>
        <v>-1.2525539608755248E-3</v>
      </c>
      <c r="G63" s="73">
        <f t="shared" si="56"/>
        <v>1.1171465167823479E-2</v>
      </c>
      <c r="H63" s="73">
        <f t="shared" si="56"/>
        <v>1.7515736914490862E-2</v>
      </c>
      <c r="I63" s="73">
        <f t="shared" si="56"/>
        <v>1.2168320598461397E-3</v>
      </c>
      <c r="J63" s="73">
        <f t="shared" si="56"/>
        <v>-1.7187097985562224E-3</v>
      </c>
      <c r="K63" s="74">
        <f t="shared" si="56"/>
        <v>9.3654873514208772E-2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-1043.3900000000001</v>
      </c>
      <c r="G65" s="76">
        <f t="shared" ref="G65:K65" si="57">G97</f>
        <v>9150.34</v>
      </c>
      <c r="H65" s="76">
        <f t="shared" si="57"/>
        <v>14186.8</v>
      </c>
      <c r="I65" s="76">
        <f t="shared" si="57"/>
        <v>935.29</v>
      </c>
      <c r="J65" s="76">
        <f t="shared" si="57"/>
        <v>-1322.52</v>
      </c>
      <c r="K65" s="76">
        <f t="shared" si="57"/>
        <v>72087.59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15661.88</v>
      </c>
      <c r="G66" s="76">
        <f t="shared" ref="G66:K66" si="58">G95</f>
        <v>58147</v>
      </c>
      <c r="H66" s="76">
        <f t="shared" si="58"/>
        <v>53691.28</v>
      </c>
      <c r="I66" s="76">
        <f t="shared" si="58"/>
        <v>53156</v>
      </c>
      <c r="J66" s="76">
        <f t="shared" si="58"/>
        <v>51670</v>
      </c>
      <c r="K66" s="76">
        <f t="shared" si="58"/>
        <v>50614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157101.46</v>
      </c>
      <c r="G67" s="76">
        <f t="shared" ref="G67:K67" si="59">G92</f>
        <v>104000.29</v>
      </c>
      <c r="H67" s="76">
        <f t="shared" si="59"/>
        <v>127176.12</v>
      </c>
      <c r="I67" s="76">
        <f t="shared" si="59"/>
        <v>126411.72</v>
      </c>
      <c r="J67" s="76">
        <f t="shared" si="59"/>
        <v>74924.88</v>
      </c>
      <c r="K67" s="76">
        <f t="shared" si="59"/>
        <v>124391.1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-871.46</v>
      </c>
      <c r="G68" s="76">
        <f t="shared" ref="G68:K68" si="60">G102</f>
        <v>9135.52</v>
      </c>
      <c r="H68" s="76">
        <f t="shared" si="60"/>
        <v>41318.92</v>
      </c>
      <c r="I68" s="76">
        <f t="shared" si="60"/>
        <v>-857.16</v>
      </c>
      <c r="J68" s="76">
        <f t="shared" si="60"/>
        <v>-231.13</v>
      </c>
      <c r="K68" s="76">
        <f t="shared" si="60"/>
        <v>71847.100000000006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-871.46</v>
      </c>
      <c r="G69" s="76">
        <f t="shared" ref="G69:K69" si="61">G104</f>
        <v>9135.52</v>
      </c>
      <c r="H69" s="76">
        <f t="shared" si="61"/>
        <v>41318.92</v>
      </c>
      <c r="I69" s="76">
        <f t="shared" si="61"/>
        <v>-857.16</v>
      </c>
      <c r="J69" s="76">
        <f t="shared" si="61"/>
        <v>-231.13</v>
      </c>
      <c r="K69" s="76">
        <f t="shared" si="61"/>
        <v>71847.100000000006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106024</v>
      </c>
      <c r="G70" s="76">
        <f t="shared" ref="G70:K70" si="62">G93</f>
        <v>69456</v>
      </c>
      <c r="H70" s="76">
        <f t="shared" si="62"/>
        <v>66348</v>
      </c>
      <c r="I70" s="76">
        <f t="shared" si="62"/>
        <v>64465</v>
      </c>
      <c r="J70" s="76">
        <f t="shared" si="62"/>
        <v>62979</v>
      </c>
      <c r="K70" s="76">
        <f t="shared" si="62"/>
        <v>61923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200</v>
      </c>
      <c r="G71" s="76">
        <f t="shared" ref="G71:K71" si="63">G98</f>
        <v>0</v>
      </c>
      <c r="H71" s="76">
        <f t="shared" si="63"/>
        <v>38119.120000000003</v>
      </c>
      <c r="I71" s="76">
        <f t="shared" si="63"/>
        <v>0</v>
      </c>
      <c r="J71" s="76">
        <f t="shared" si="63"/>
        <v>0</v>
      </c>
      <c r="K71" s="76">
        <f t="shared" si="63"/>
        <v>0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1393665.05</v>
      </c>
      <c r="G72" s="76">
        <f t="shared" ref="G72:K74" si="64">G85</f>
        <v>1161995.3799999999</v>
      </c>
      <c r="H72" s="76">
        <f t="shared" si="64"/>
        <v>1099945.27</v>
      </c>
      <c r="I72" s="76">
        <f t="shared" si="64"/>
        <v>901142.61</v>
      </c>
      <c r="J72" s="76">
        <f t="shared" si="64"/>
        <v>660511.16</v>
      </c>
      <c r="K72" s="76">
        <f t="shared" si="64"/>
        <v>644224.29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161013</v>
      </c>
      <c r="G73" s="76">
        <f t="shared" si="64"/>
        <v>94740</v>
      </c>
      <c r="H73" s="76">
        <f t="shared" si="64"/>
        <v>139336.9</v>
      </c>
      <c r="I73" s="76">
        <f t="shared" si="64"/>
        <v>33013.99</v>
      </c>
      <c r="J73" s="76">
        <f t="shared" si="64"/>
        <v>86393.98</v>
      </c>
      <c r="K73" s="76">
        <f t="shared" si="64"/>
        <v>83336.350000000006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234.22</v>
      </c>
      <c r="I74" s="76">
        <f t="shared" si="64"/>
        <v>10054.24</v>
      </c>
      <c r="J74" s="76">
        <f t="shared" si="64"/>
        <v>175950.74</v>
      </c>
      <c r="K74" s="76">
        <f t="shared" si="64"/>
        <v>216471.95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5.66</v>
      </c>
      <c r="G75" s="76">
        <f t="shared" ref="G75:K75" si="65">G100</f>
        <v>0.05</v>
      </c>
      <c r="H75" s="76">
        <f t="shared" si="65"/>
        <v>0</v>
      </c>
      <c r="I75" s="76">
        <f t="shared" si="65"/>
        <v>1194.7</v>
      </c>
      <c r="J75" s="76">
        <f t="shared" si="65"/>
        <v>1091.8</v>
      </c>
      <c r="K75" s="76">
        <f t="shared" si="65"/>
        <v>0.05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1236563.5900000001</v>
      </c>
      <c r="G76" s="76">
        <f t="shared" ref="G76:K78" si="66">G89</f>
        <v>1057859.0900000001</v>
      </c>
      <c r="H76" s="76">
        <f t="shared" si="66"/>
        <v>973003.37</v>
      </c>
      <c r="I76" s="76">
        <f t="shared" si="66"/>
        <v>784117.54</v>
      </c>
      <c r="J76" s="76">
        <f t="shared" si="66"/>
        <v>660511.16</v>
      </c>
      <c r="K76" s="76">
        <f t="shared" si="66"/>
        <v>644224.29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161013</v>
      </c>
      <c r="G77" s="76">
        <f t="shared" si="66"/>
        <v>94876</v>
      </c>
      <c r="H77" s="76">
        <f t="shared" si="66"/>
        <v>139336.9</v>
      </c>
      <c r="I77" s="76">
        <f t="shared" si="66"/>
        <v>33681.58</v>
      </c>
      <c r="J77" s="76">
        <f t="shared" si="66"/>
        <v>86567.14</v>
      </c>
      <c r="K77" s="76">
        <f t="shared" si="66"/>
        <v>83718.16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100852.7</v>
      </c>
      <c r="K78" s="76">
        <f t="shared" si="66"/>
        <v>91699.04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1935595.56</v>
      </c>
      <c r="G79" s="76">
        <f t="shared" ref="G79:K79" si="67">G120</f>
        <v>1926075.13</v>
      </c>
      <c r="H79" s="76">
        <f t="shared" si="67"/>
        <v>1977968.16</v>
      </c>
      <c r="I79" s="76">
        <f t="shared" si="67"/>
        <v>2005632.75</v>
      </c>
      <c r="J79" s="76">
        <f t="shared" si="67"/>
        <v>2028368.29</v>
      </c>
      <c r="K79" s="76">
        <f t="shared" si="67"/>
        <v>2085231.49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818210</v>
      </c>
      <c r="G80" s="76">
        <f t="shared" ref="G80:K80" si="68">G122</f>
        <v>819081.46</v>
      </c>
      <c r="H80" s="76">
        <f t="shared" si="68"/>
        <v>809945.94</v>
      </c>
      <c r="I80" s="76">
        <f t="shared" si="68"/>
        <v>768627.02</v>
      </c>
      <c r="J80" s="76">
        <f t="shared" si="68"/>
        <v>769484.18</v>
      </c>
      <c r="K80" s="76">
        <f t="shared" si="68"/>
        <v>769715.31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14800.02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1554678.05</v>
      </c>
      <c r="G84" s="90">
        <v>1256735.3799999999</v>
      </c>
      <c r="H84" s="90">
        <v>1239516.3899999999</v>
      </c>
      <c r="I84" s="90">
        <v>944210.84</v>
      </c>
      <c r="J84" s="90">
        <v>922855.88</v>
      </c>
      <c r="K84" s="90">
        <v>944032.59</v>
      </c>
    </row>
    <row r="85" spans="3:11" x14ac:dyDescent="0.3">
      <c r="E85" s="11" t="s">
        <v>3</v>
      </c>
      <c r="F85" s="90">
        <v>1393665.05</v>
      </c>
      <c r="G85" s="90">
        <v>1161995.3799999999</v>
      </c>
      <c r="H85" s="90">
        <v>1099945.27</v>
      </c>
      <c r="I85" s="90">
        <v>901142.61</v>
      </c>
      <c r="J85" s="90">
        <v>660511.16</v>
      </c>
      <c r="K85" s="90">
        <v>644224.29</v>
      </c>
    </row>
    <row r="86" spans="3:11" x14ac:dyDescent="0.3">
      <c r="E86" s="11" t="s">
        <v>4</v>
      </c>
      <c r="F86" s="90">
        <v>161013</v>
      </c>
      <c r="G86" s="90">
        <v>94740</v>
      </c>
      <c r="H86" s="90">
        <v>139336.9</v>
      </c>
      <c r="I86" s="90">
        <v>33013.99</v>
      </c>
      <c r="J86" s="90">
        <v>86393.98</v>
      </c>
      <c r="K86" s="90">
        <v>83336.350000000006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234.22</v>
      </c>
      <c r="I87" s="90">
        <v>10054.24</v>
      </c>
      <c r="J87" s="90">
        <v>175950.74</v>
      </c>
      <c r="K87" s="90">
        <v>216471.95</v>
      </c>
    </row>
    <row r="88" spans="3:11" x14ac:dyDescent="0.3">
      <c r="E88" s="11" t="s">
        <v>6</v>
      </c>
      <c r="F88" s="90">
        <v>1397576.59</v>
      </c>
      <c r="G88" s="90">
        <v>1152735.0900000001</v>
      </c>
      <c r="H88" s="90">
        <v>1112340.27</v>
      </c>
      <c r="I88" s="90">
        <v>817799.12</v>
      </c>
      <c r="J88" s="90">
        <v>847931</v>
      </c>
      <c r="K88" s="90">
        <v>819641.49</v>
      </c>
    </row>
    <row r="89" spans="3:11" x14ac:dyDescent="0.3">
      <c r="E89" s="11" t="s">
        <v>7</v>
      </c>
      <c r="F89" s="90">
        <v>1236563.5900000001</v>
      </c>
      <c r="G89" s="90">
        <v>1057859.0900000001</v>
      </c>
      <c r="H89" s="90">
        <v>973003.37</v>
      </c>
      <c r="I89" s="90">
        <v>784117.54</v>
      </c>
      <c r="J89" s="90">
        <v>660511.16</v>
      </c>
      <c r="K89" s="90">
        <v>644224.29</v>
      </c>
    </row>
    <row r="90" spans="3:11" x14ac:dyDescent="0.3">
      <c r="E90" s="11" t="s">
        <v>8</v>
      </c>
      <c r="F90" s="90">
        <v>161013</v>
      </c>
      <c r="G90" s="90">
        <v>94876</v>
      </c>
      <c r="H90" s="90">
        <v>139336.9</v>
      </c>
      <c r="I90" s="90">
        <v>33681.58</v>
      </c>
      <c r="J90" s="90">
        <v>86567.14</v>
      </c>
      <c r="K90" s="90">
        <v>83718.16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90">
        <v>100852.7</v>
      </c>
      <c r="K91" s="90">
        <v>91699.04</v>
      </c>
    </row>
    <row r="92" spans="3:11" x14ac:dyDescent="0.3">
      <c r="E92" s="11" t="s">
        <v>10</v>
      </c>
      <c r="F92" s="90">
        <v>157101.46</v>
      </c>
      <c r="G92" s="90">
        <v>104000.29</v>
      </c>
      <c r="H92" s="90">
        <v>127176.12</v>
      </c>
      <c r="I92" s="90">
        <v>126411.72</v>
      </c>
      <c r="J92" s="90">
        <v>74924.88</v>
      </c>
      <c r="K92" s="90">
        <v>124391.1</v>
      </c>
    </row>
    <row r="93" spans="3:11" x14ac:dyDescent="0.3">
      <c r="E93" s="11" t="s">
        <v>11</v>
      </c>
      <c r="F93" s="90">
        <v>106024</v>
      </c>
      <c r="G93" s="90">
        <v>69456</v>
      </c>
      <c r="H93" s="90">
        <v>66348</v>
      </c>
      <c r="I93" s="90">
        <v>64465</v>
      </c>
      <c r="J93" s="90">
        <v>62979</v>
      </c>
      <c r="K93" s="90">
        <v>61923</v>
      </c>
    </row>
    <row r="94" spans="3:11" x14ac:dyDescent="0.3">
      <c r="E94" s="11" t="s">
        <v>12</v>
      </c>
      <c r="F94" s="90">
        <v>90362.12</v>
      </c>
      <c r="G94" s="90">
        <v>11309</v>
      </c>
      <c r="H94" s="90">
        <v>12656.72</v>
      </c>
      <c r="I94" s="90">
        <v>11309</v>
      </c>
      <c r="J94" s="90">
        <v>11309</v>
      </c>
      <c r="K94" s="90">
        <v>11309</v>
      </c>
    </row>
    <row r="95" spans="3:11" x14ac:dyDescent="0.3">
      <c r="E95" s="11" t="s">
        <v>13</v>
      </c>
      <c r="F95" s="90">
        <v>15661.88</v>
      </c>
      <c r="G95" s="90">
        <v>58147</v>
      </c>
      <c r="H95" s="90">
        <v>53691.28</v>
      </c>
      <c r="I95" s="90">
        <v>53156</v>
      </c>
      <c r="J95" s="90">
        <v>51670</v>
      </c>
      <c r="K95" s="90">
        <v>50614</v>
      </c>
    </row>
    <row r="96" spans="3:11" x14ac:dyDescent="0.3">
      <c r="E96" s="11" t="s">
        <v>14</v>
      </c>
      <c r="F96" s="90">
        <v>173806.73</v>
      </c>
      <c r="G96" s="90">
        <v>152996.95000000001</v>
      </c>
      <c r="H96" s="90">
        <v>166680.6</v>
      </c>
      <c r="I96" s="90">
        <v>178632.43</v>
      </c>
      <c r="J96" s="90">
        <v>127917.4</v>
      </c>
      <c r="K96" s="90">
        <v>102917.51</v>
      </c>
    </row>
    <row r="97" spans="5:11" x14ac:dyDescent="0.3">
      <c r="E97" s="11" t="s">
        <v>15</v>
      </c>
      <c r="F97" s="90">
        <v>-1043.3900000000001</v>
      </c>
      <c r="G97" s="90">
        <v>9150.34</v>
      </c>
      <c r="H97" s="90">
        <v>14186.8</v>
      </c>
      <c r="I97" s="107">
        <v>935.29</v>
      </c>
      <c r="J97" s="90">
        <v>-1322.52</v>
      </c>
      <c r="K97" s="90">
        <v>72087.59</v>
      </c>
    </row>
    <row r="98" spans="5:11" x14ac:dyDescent="0.3">
      <c r="E98" s="11" t="s">
        <v>16</v>
      </c>
      <c r="F98" s="107">
        <v>200</v>
      </c>
      <c r="G98" s="107">
        <v>0</v>
      </c>
      <c r="H98" s="90">
        <v>38119.120000000003</v>
      </c>
      <c r="I98" s="107">
        <v>0</v>
      </c>
      <c r="J98" s="107">
        <v>0</v>
      </c>
      <c r="K98" s="107">
        <v>0</v>
      </c>
    </row>
    <row r="99" spans="5:11" x14ac:dyDescent="0.3">
      <c r="E99" s="11" t="s">
        <v>17</v>
      </c>
      <c r="F99" s="107">
        <v>0</v>
      </c>
      <c r="G99" s="107">
        <v>0</v>
      </c>
      <c r="H99" s="90">
        <v>10987</v>
      </c>
      <c r="I99" s="107">
        <v>0</v>
      </c>
      <c r="J99" s="107">
        <v>0</v>
      </c>
      <c r="K99" s="107">
        <v>0</v>
      </c>
    </row>
    <row r="100" spans="5:11" x14ac:dyDescent="0.3">
      <c r="E100" s="11" t="s">
        <v>18</v>
      </c>
      <c r="F100" s="107">
        <v>5.66</v>
      </c>
      <c r="G100" s="107">
        <v>0.05</v>
      </c>
      <c r="H100" s="107">
        <v>0</v>
      </c>
      <c r="I100" s="90">
        <v>1194.7</v>
      </c>
      <c r="J100" s="90">
        <v>1091.8</v>
      </c>
      <c r="K100" s="107">
        <v>0.05</v>
      </c>
    </row>
    <row r="101" spans="5:11" x14ac:dyDescent="0.3">
      <c r="E101" s="11" t="s">
        <v>19</v>
      </c>
      <c r="F101" s="107">
        <v>33.729999999999997</v>
      </c>
      <c r="G101" s="107">
        <v>14.87</v>
      </c>
      <c r="H101" s="107">
        <v>0</v>
      </c>
      <c r="I101" s="90">
        <v>2987.15</v>
      </c>
      <c r="J101" s="107">
        <v>0.41</v>
      </c>
      <c r="K101" s="107">
        <v>240.54</v>
      </c>
    </row>
    <row r="102" spans="5:11" x14ac:dyDescent="0.3">
      <c r="E102" s="11" t="s">
        <v>20</v>
      </c>
      <c r="F102" s="107">
        <v>-871.46</v>
      </c>
      <c r="G102" s="90">
        <v>9135.52</v>
      </c>
      <c r="H102" s="90">
        <v>41318.92</v>
      </c>
      <c r="I102" s="107">
        <v>-857.16</v>
      </c>
      <c r="J102" s="107">
        <v>-231.13</v>
      </c>
      <c r="K102" s="90">
        <v>71847.100000000006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107">
        <v>-871.46</v>
      </c>
      <c r="G104" s="90">
        <v>9135.52</v>
      </c>
      <c r="H104" s="90">
        <v>41318.92</v>
      </c>
      <c r="I104" s="107">
        <v>-857.16</v>
      </c>
      <c r="J104" s="107">
        <v>-231.13</v>
      </c>
      <c r="K104" s="90">
        <v>71847.100000000006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1655219.51</v>
      </c>
      <c r="G108" s="90">
        <v>1708703.91</v>
      </c>
      <c r="H108" s="90">
        <v>1764719.95</v>
      </c>
      <c r="I108" s="90">
        <v>1821383.88</v>
      </c>
      <c r="J108" s="90">
        <v>1878047.48</v>
      </c>
      <c r="K108" s="90">
        <v>1934711.41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1655219.51</v>
      </c>
      <c r="G110" s="90">
        <v>1708703.91</v>
      </c>
      <c r="H110" s="90">
        <v>1764719.95</v>
      </c>
      <c r="I110" s="90">
        <v>1821383.88</v>
      </c>
      <c r="J110" s="90">
        <v>1878047.48</v>
      </c>
      <c r="K110" s="90">
        <v>1934711.41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280376.05</v>
      </c>
      <c r="G114" s="90">
        <v>217371.22</v>
      </c>
      <c r="H114" s="90">
        <v>213248.21</v>
      </c>
      <c r="I114" s="90">
        <v>184248.87</v>
      </c>
      <c r="J114" s="90">
        <v>150320.81</v>
      </c>
      <c r="K114" s="90">
        <v>150520.07999999999</v>
      </c>
    </row>
    <row r="115" spans="5:11" x14ac:dyDescent="0.3">
      <c r="E115" s="8" t="s">
        <v>34</v>
      </c>
      <c r="F115" s="90">
        <v>7242.24</v>
      </c>
      <c r="G115" s="90">
        <v>7242.24</v>
      </c>
      <c r="H115" s="90">
        <v>12368.58</v>
      </c>
      <c r="I115" s="90">
        <v>6344.91</v>
      </c>
      <c r="J115" s="90">
        <v>5308.09</v>
      </c>
      <c r="K115" s="90">
        <v>5134.93</v>
      </c>
    </row>
    <row r="116" spans="5:11" ht="15" customHeight="1" x14ac:dyDescent="0.3">
      <c r="E116" s="8" t="s">
        <v>35</v>
      </c>
      <c r="F116" s="90">
        <v>106569.03</v>
      </c>
      <c r="G116" s="90">
        <v>97726.62</v>
      </c>
      <c r="H116" s="90">
        <v>67247.850000000006</v>
      </c>
      <c r="I116" s="90">
        <v>45323.9</v>
      </c>
      <c r="J116" s="90">
        <v>67001.05</v>
      </c>
      <c r="K116" s="90">
        <v>60165.69</v>
      </c>
    </row>
    <row r="117" spans="5:11" ht="15" customHeight="1" x14ac:dyDescent="0.3">
      <c r="E117" s="8" t="s">
        <v>36</v>
      </c>
      <c r="F117" s="90">
        <v>166518.93</v>
      </c>
      <c r="G117" s="90">
        <v>112356.49</v>
      </c>
      <c r="H117" s="90">
        <v>133585.79999999999</v>
      </c>
      <c r="I117" s="90">
        <v>102772.98</v>
      </c>
      <c r="J117" s="90">
        <v>76363.92</v>
      </c>
      <c r="K117" s="90">
        <v>82735.03</v>
      </c>
    </row>
    <row r="118" spans="5:11" ht="15" customHeight="1" x14ac:dyDescent="0.3">
      <c r="E118" s="8" t="s">
        <v>37</v>
      </c>
      <c r="F118" s="107">
        <v>45.85</v>
      </c>
      <c r="G118" s="107">
        <v>45.87</v>
      </c>
      <c r="H118" s="107">
        <v>45.98</v>
      </c>
      <c r="I118" s="90">
        <v>29807.08</v>
      </c>
      <c r="J118" s="90">
        <v>1647.75</v>
      </c>
      <c r="K118" s="90">
        <v>2484.4299999999998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1935595.56</v>
      </c>
      <c r="G120" s="90">
        <v>1926075.13</v>
      </c>
      <c r="H120" s="90">
        <v>1977968.16</v>
      </c>
      <c r="I120" s="90">
        <v>2005632.75</v>
      </c>
      <c r="J120" s="90">
        <v>2028368.29</v>
      </c>
      <c r="K120" s="90">
        <v>2085231.49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818210</v>
      </c>
      <c r="G122" s="90">
        <v>819081.46</v>
      </c>
      <c r="H122" s="90">
        <v>809945.94</v>
      </c>
      <c r="I122" s="90">
        <v>768627.02</v>
      </c>
      <c r="J122" s="90">
        <v>769484.18</v>
      </c>
      <c r="K122" s="90">
        <v>769715.31</v>
      </c>
    </row>
    <row r="123" spans="5:11" x14ac:dyDescent="0.3">
      <c r="E123" s="8" t="s">
        <v>42</v>
      </c>
      <c r="F123" s="90">
        <v>697868.21</v>
      </c>
      <c r="G123" s="90">
        <v>697868.21</v>
      </c>
      <c r="H123" s="90">
        <v>697868.21</v>
      </c>
      <c r="I123" s="90">
        <v>697868.21</v>
      </c>
      <c r="J123" s="90">
        <v>697868.21</v>
      </c>
      <c r="K123" s="90">
        <v>697868.21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90">
        <v>121213.25</v>
      </c>
      <c r="G125" s="90">
        <v>112077.73</v>
      </c>
      <c r="H125" s="90">
        <v>70758.81</v>
      </c>
      <c r="I125" s="90">
        <v>71615.97</v>
      </c>
      <c r="J125" s="90">
        <v>71847.100000000006</v>
      </c>
      <c r="K125" s="107">
        <v>0</v>
      </c>
    </row>
    <row r="126" spans="5:11" x14ac:dyDescent="0.3">
      <c r="E126" s="8" t="s">
        <v>45</v>
      </c>
      <c r="F126" s="107">
        <v>-871.46</v>
      </c>
      <c r="G126" s="90">
        <v>9135.52</v>
      </c>
      <c r="H126" s="90">
        <v>41318.92</v>
      </c>
      <c r="I126" s="107">
        <v>-857.16</v>
      </c>
      <c r="J126" s="107">
        <v>-231.13</v>
      </c>
      <c r="K126" s="90">
        <v>71847.100000000006</v>
      </c>
    </row>
    <row r="127" spans="5:11" ht="15" customHeight="1" x14ac:dyDescent="0.3">
      <c r="E127" s="18" t="s">
        <v>91</v>
      </c>
      <c r="F127" s="90">
        <v>1117385.56</v>
      </c>
      <c r="G127" s="90">
        <v>1106993.67</v>
      </c>
      <c r="H127" s="90">
        <v>1168022.22</v>
      </c>
      <c r="I127" s="90">
        <v>1237005.73</v>
      </c>
      <c r="J127" s="90">
        <v>1258884.1100000001</v>
      </c>
      <c r="K127" s="90">
        <v>1315516.18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14800.02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27044.87</v>
      </c>
      <c r="G130" s="107">
        <v>344.6</v>
      </c>
      <c r="H130" s="90">
        <v>2073.06</v>
      </c>
      <c r="I130" s="90">
        <v>28679.11</v>
      </c>
      <c r="J130" s="90">
        <v>3205.27</v>
      </c>
      <c r="K130" s="90">
        <v>4957.58</v>
      </c>
    </row>
    <row r="131" spans="5:11" ht="15" customHeight="1" x14ac:dyDescent="0.3">
      <c r="E131" s="17" t="s">
        <v>88</v>
      </c>
      <c r="F131" s="90">
        <v>1075540.67</v>
      </c>
      <c r="G131" s="90">
        <v>1106649.07</v>
      </c>
      <c r="H131" s="90">
        <v>1165949.1599999999</v>
      </c>
      <c r="I131" s="90">
        <v>1208326.6200000001</v>
      </c>
      <c r="J131" s="90">
        <v>1255678.8400000001</v>
      </c>
      <c r="K131" s="90">
        <v>1310558.6000000001</v>
      </c>
    </row>
    <row r="132" spans="5:11" x14ac:dyDescent="0.3">
      <c r="E132" s="7" t="s">
        <v>47</v>
      </c>
      <c r="F132" s="90">
        <v>1935595.56</v>
      </c>
      <c r="G132" s="90">
        <v>1926075.13</v>
      </c>
      <c r="H132" s="90">
        <v>1977968.16</v>
      </c>
      <c r="I132" s="90">
        <v>2005632.75</v>
      </c>
      <c r="J132" s="90">
        <v>2028368.29</v>
      </c>
      <c r="K132" s="90">
        <v>2085231.49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0F5FE-84E2-4BD7-ABA8-EE7E9E336086}">
  <sheetPr>
    <tabColor theme="5" tint="0.79998168889431442"/>
  </sheetPr>
  <dimension ref="A1:M177"/>
  <sheetViews>
    <sheetView topLeftCell="A176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415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0.28214135460748457</v>
      </c>
      <c r="B4" s="139">
        <f>MAX(F4:K4)</f>
        <v>6.5651707106049635</v>
      </c>
      <c r="C4" s="155">
        <f>AVERAGE(F4:K4)</f>
        <v>2.47747500934531</v>
      </c>
      <c r="D4" s="156">
        <f>MEDIAN(F4:K4)</f>
        <v>2.3101851060977623</v>
      </c>
      <c r="E4" s="47" t="s">
        <v>364</v>
      </c>
      <c r="F4" s="71">
        <f>SUM(F9:F12)/SUM(F13:F15)</f>
        <v>0.28214135460748457</v>
      </c>
      <c r="G4" s="71">
        <f t="shared" ref="G4:K4" si="0">SUM(G9:G12)/SUM(G13:G15)</f>
        <v>0.6989279858670393</v>
      </c>
      <c r="H4" s="71">
        <f t="shared" si="0"/>
        <v>2.544904711585573</v>
      </c>
      <c r="I4" s="71">
        <f t="shared" si="0"/>
        <v>2.6982397927968487</v>
      </c>
      <c r="J4" s="71">
        <f t="shared" si="0"/>
        <v>6.5651707106049635</v>
      </c>
      <c r="K4" s="71">
        <f t="shared" si="0"/>
        <v>2.0754655006099512</v>
      </c>
    </row>
    <row r="5" spans="1:11" s="43" customFormat="1" ht="13.2" x14ac:dyDescent="0.25">
      <c r="A5" s="139">
        <f t="shared" ref="A5:A7" si="1">MIN(F5:K5)</f>
        <v>0.28214135460748457</v>
      </c>
      <c r="B5" s="139">
        <f t="shared" ref="B5:B7" si="2">MAX(F5:K5)</f>
        <v>9.4779819081248817</v>
      </c>
      <c r="C5" s="155">
        <f t="shared" ref="C5:C7" si="3">AVERAGEIF(F5:K5,"&gt;0")</f>
        <v>3.3420889470702932</v>
      </c>
      <c r="D5" s="156">
        <f t="shared" ref="D5:D7" si="4">_xlfn.AGGREGATE(12,6,F5:K5)</f>
        <v>2.6874307462937006</v>
      </c>
      <c r="E5" s="47" t="s">
        <v>363</v>
      </c>
      <c r="F5" s="71">
        <f t="shared" ref="F5:K5" si="5">SUM(F9:F12)/F14</f>
        <v>0.28214135460748457</v>
      </c>
      <c r="G5" s="71">
        <f t="shared" si="5"/>
        <v>0.7062925324139584</v>
      </c>
      <c r="H5" s="71">
        <f t="shared" si="5"/>
        <v>2.6766216997905525</v>
      </c>
      <c r="I5" s="71">
        <f t="shared" si="5"/>
        <v>2.6982397927968487</v>
      </c>
      <c r="J5" s="71">
        <f t="shared" si="5"/>
        <v>9.4779819081248817</v>
      </c>
      <c r="K5" s="71">
        <f t="shared" si="5"/>
        <v>4.2112563946880348</v>
      </c>
    </row>
    <row r="6" spans="1:11" s="43" customFormat="1" ht="13.2" x14ac:dyDescent="0.25">
      <c r="A6" s="139">
        <f t="shared" si="1"/>
        <v>0.26843170023828983</v>
      </c>
      <c r="B6" s="139">
        <f t="shared" si="2"/>
        <v>8.9860473203776401</v>
      </c>
      <c r="C6" s="155">
        <f t="shared" si="3"/>
        <v>3.1512768860021425</v>
      </c>
      <c r="D6" s="156">
        <f t="shared" si="4"/>
        <v>2.4743865476329576</v>
      </c>
      <c r="E6" s="47" t="s">
        <v>365</v>
      </c>
      <c r="F6" s="71">
        <f t="shared" ref="F6:K6" si="6">SUM(F10:F11)/F14</f>
        <v>0.26843170023828983</v>
      </c>
      <c r="G6" s="71">
        <f t="shared" si="6"/>
        <v>0.64933255534978385</v>
      </c>
      <c r="H6" s="71">
        <f t="shared" si="6"/>
        <v>2.3947411466594404</v>
      </c>
      <c r="I6" s="71">
        <f t="shared" si="6"/>
        <v>2.5540319486064744</v>
      </c>
      <c r="J6" s="71">
        <f t="shared" si="6"/>
        <v>8.9860473203776401</v>
      </c>
      <c r="K6" s="71">
        <f t="shared" si="6"/>
        <v>4.0550766447812254</v>
      </c>
    </row>
    <row r="7" spans="1:11" s="43" customFormat="1" ht="13.8" thickBot="1" x14ac:dyDescent="0.3">
      <c r="A7" s="139">
        <f t="shared" si="1"/>
        <v>0.15915580129053869</v>
      </c>
      <c r="B7" s="139">
        <f t="shared" si="2"/>
        <v>7.3481749676930797</v>
      </c>
      <c r="C7" s="155">
        <f t="shared" si="3"/>
        <v>2.5279765099406633</v>
      </c>
      <c r="D7" s="156">
        <f t="shared" si="4"/>
        <v>1.9146438081531902</v>
      </c>
      <c r="E7" s="49" t="s">
        <v>366</v>
      </c>
      <c r="F7" s="73">
        <f t="shared" ref="F7:K7" si="7">F11/F14</f>
        <v>0.15915580129053869</v>
      </c>
      <c r="G7" s="73">
        <f t="shared" si="7"/>
        <v>0.45709110783207441</v>
      </c>
      <c r="H7" s="73">
        <f t="shared" si="7"/>
        <v>1.7212262076016787</v>
      </c>
      <c r="I7" s="73">
        <f t="shared" si="7"/>
        <v>2.1080614087047018</v>
      </c>
      <c r="J7" s="73">
        <f t="shared" si="7"/>
        <v>7.3481749676930797</v>
      </c>
      <c r="K7" s="73">
        <f t="shared" si="7"/>
        <v>3.3741495665219068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20282.95</v>
      </c>
      <c r="H9" s="76">
        <f t="shared" si="8"/>
        <v>21805.25</v>
      </c>
      <c r="I9" s="76">
        <f t="shared" si="8"/>
        <v>17087.28</v>
      </c>
      <c r="J9" s="76">
        <f t="shared" si="8"/>
        <v>9562.5</v>
      </c>
      <c r="K9" s="76">
        <f t="shared" si="8"/>
        <v>8106.09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23971.56</v>
      </c>
      <c r="G10" s="76">
        <f t="shared" si="8"/>
        <v>82100.53</v>
      </c>
      <c r="H10" s="76">
        <f t="shared" si="8"/>
        <v>65715.58</v>
      </c>
      <c r="I10" s="76">
        <f t="shared" si="8"/>
        <v>62724.2</v>
      </c>
      <c r="J10" s="76">
        <f t="shared" si="8"/>
        <v>31837.88</v>
      </c>
      <c r="K10" s="76">
        <f t="shared" si="8"/>
        <v>47640.6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34913.58</v>
      </c>
      <c r="G11" s="76">
        <f t="shared" si="8"/>
        <v>195209.84</v>
      </c>
      <c r="H11" s="76">
        <f t="shared" si="8"/>
        <v>167941.9</v>
      </c>
      <c r="I11" s="76">
        <f t="shared" si="8"/>
        <v>296491.48</v>
      </c>
      <c r="J11" s="76">
        <f t="shared" si="8"/>
        <v>142837.94</v>
      </c>
      <c r="K11" s="76">
        <f t="shared" si="8"/>
        <v>236070.08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3007.45</v>
      </c>
      <c r="G12" s="76">
        <f t="shared" si="8"/>
        <v>4042.94</v>
      </c>
      <c r="H12" s="76">
        <f t="shared" si="8"/>
        <v>5698.14</v>
      </c>
      <c r="I12" s="76">
        <f t="shared" si="8"/>
        <v>3195.05</v>
      </c>
      <c r="J12" s="76">
        <f t="shared" si="8"/>
        <v>0</v>
      </c>
      <c r="K12" s="76">
        <f t="shared" si="8"/>
        <v>2820.92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219367.31</v>
      </c>
      <c r="G14" s="76">
        <f t="shared" ref="G14:K15" si="10">G130</f>
        <v>427069.87</v>
      </c>
      <c r="H14" s="76">
        <f t="shared" si="10"/>
        <v>97571.08</v>
      </c>
      <c r="I14" s="76">
        <f t="shared" si="10"/>
        <v>140646.51</v>
      </c>
      <c r="J14" s="76">
        <f t="shared" si="10"/>
        <v>19438.560000000001</v>
      </c>
      <c r="K14" s="76">
        <f t="shared" si="10"/>
        <v>69964.320000000007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4500</v>
      </c>
      <c r="H15" s="76">
        <f t="shared" si="10"/>
        <v>5050</v>
      </c>
      <c r="I15" s="76">
        <f t="shared" si="10"/>
        <v>0</v>
      </c>
      <c r="J15" s="76">
        <f t="shared" si="10"/>
        <v>8624.43</v>
      </c>
      <c r="K15" s="76">
        <f t="shared" si="10"/>
        <v>71997.899999999994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7.6507422233555333</v>
      </c>
      <c r="B19" s="152">
        <f t="shared" ref="B19:B25" si="12">MAX(F19:K19)</f>
        <v>37.718055371393092</v>
      </c>
      <c r="C19" s="156">
        <f>AVERAGE(F19:K19)</f>
        <v>21.357225497203959</v>
      </c>
      <c r="D19" s="156">
        <f>MEDIAN(F19:K19)</f>
        <v>20.891300050211292</v>
      </c>
      <c r="E19" s="47" t="s">
        <v>293</v>
      </c>
      <c r="F19" s="71">
        <f>F28/(F27/365)</f>
        <v>7.6507422233555333</v>
      </c>
      <c r="G19" s="71">
        <f t="shared" ref="G19:K19" si="13">G28/(G27/365)</f>
        <v>18.51483519203062</v>
      </c>
      <c r="H19" s="71">
        <f t="shared" si="13"/>
        <v>23.267764908391964</v>
      </c>
      <c r="I19" s="71">
        <f t="shared" si="13"/>
        <v>31.000789619005644</v>
      </c>
      <c r="J19" s="71">
        <f t="shared" si="13"/>
        <v>9.9911656690469091</v>
      </c>
      <c r="K19" s="71">
        <f t="shared" si="13"/>
        <v>37.718055371393092</v>
      </c>
    </row>
    <row r="20" spans="1:11" s="43" customFormat="1" ht="13.2" x14ac:dyDescent="0.25">
      <c r="A20" s="152">
        <f t="shared" si="11"/>
        <v>0</v>
      </c>
      <c r="B20" s="152">
        <f t="shared" si="12"/>
        <v>8.4452120942322537</v>
      </c>
      <c r="C20" s="156">
        <f t="shared" ref="C20:C25" si="14">AVERAGE(F20:K20)</f>
        <v>5.0264074770717952</v>
      </c>
      <c r="D20" s="156">
        <f t="shared" ref="D20:D25" si="15">MEDIAN(F20:K20)</f>
        <v>5.4959267540863044</v>
      </c>
      <c r="E20" s="121" t="s">
        <v>367</v>
      </c>
      <c r="F20" s="71">
        <f>F29/(F27/365)</f>
        <v>0</v>
      </c>
      <c r="G20" s="71">
        <f t="shared" ref="G20:K20" si="16">G29/(G27/365)</f>
        <v>4.5740932057100911</v>
      </c>
      <c r="H20" s="71">
        <f t="shared" si="16"/>
        <v>7.7205349289881315</v>
      </c>
      <c r="I20" s="71">
        <f t="shared" si="16"/>
        <v>8.4452120942322537</v>
      </c>
      <c r="J20" s="71">
        <f t="shared" si="16"/>
        <v>3.0008443310377784</v>
      </c>
      <c r="K20" s="71">
        <f t="shared" si="16"/>
        <v>6.4177603024625176</v>
      </c>
    </row>
    <row r="21" spans="1:11" s="43" customFormat="1" ht="13.2" x14ac:dyDescent="0.25">
      <c r="A21" s="152">
        <f t="shared" si="11"/>
        <v>6.1000881128928341</v>
      </c>
      <c r="B21" s="152">
        <f t="shared" si="12"/>
        <v>96.310319294308357</v>
      </c>
      <c r="C21" s="156">
        <f t="shared" si="14"/>
        <v>55.312592329200221</v>
      </c>
      <c r="D21" s="156">
        <f t="shared" si="15"/>
        <v>62.452649010383809</v>
      </c>
      <c r="E21" s="47" t="s">
        <v>368</v>
      </c>
      <c r="F21" s="71">
        <f>F30/(F27/365)</f>
        <v>70.013079709494178</v>
      </c>
      <c r="G21" s="71">
        <f t="shared" ref="G21:K21" si="17">G30/(G27/365)</f>
        <v>96.310319294308357</v>
      </c>
      <c r="H21" s="71">
        <f t="shared" si="17"/>
        <v>34.546768837738405</v>
      </c>
      <c r="I21" s="71">
        <f t="shared" si="17"/>
        <v>69.51308852336696</v>
      </c>
      <c r="J21" s="71">
        <f t="shared" si="17"/>
        <v>6.1000881128928341</v>
      </c>
      <c r="K21" s="71">
        <f t="shared" si="17"/>
        <v>55.39220949740065</v>
      </c>
    </row>
    <row r="22" spans="1:11" s="43" customFormat="1" ht="13.2" x14ac:dyDescent="0.25">
      <c r="A22" s="152">
        <f t="shared" si="11"/>
        <v>-73.221390896567641</v>
      </c>
      <c r="B22" s="152">
        <f t="shared" si="12"/>
        <v>6.8919218871918524</v>
      </c>
      <c r="C22" s="156">
        <f t="shared" si="14"/>
        <v>-28.928959354924476</v>
      </c>
      <c r="D22" s="156">
        <f t="shared" si="15"/>
        <v>-20.661740316837051</v>
      </c>
      <c r="E22" s="47" t="s">
        <v>294</v>
      </c>
      <c r="F22" s="71">
        <f>F19+F20-F21</f>
        <v>-62.362337486138642</v>
      </c>
      <c r="G22" s="71">
        <f t="shared" ref="G22:K22" si="18">G19+G20-G21</f>
        <v>-73.221390896567641</v>
      </c>
      <c r="H22" s="71">
        <f t="shared" si="18"/>
        <v>-3.5584690003583077</v>
      </c>
      <c r="I22" s="71">
        <f t="shared" si="18"/>
        <v>-30.067086810129062</v>
      </c>
      <c r="J22" s="71">
        <f t="shared" si="18"/>
        <v>6.8919218871918524</v>
      </c>
      <c r="K22" s="71">
        <f t="shared" si="18"/>
        <v>-11.256393823545039</v>
      </c>
    </row>
    <row r="23" spans="1:11" s="43" customFormat="1" ht="13.2" x14ac:dyDescent="0.25">
      <c r="A23" s="152">
        <f t="shared" si="11"/>
        <v>0.65282672611093751</v>
      </c>
      <c r="B23" s="152">
        <f t="shared" si="12"/>
        <v>1.9918273115347251</v>
      </c>
      <c r="C23" s="156">
        <f t="shared" si="14"/>
        <v>1.2323114115283502</v>
      </c>
      <c r="D23" s="156">
        <f t="shared" si="15"/>
        <v>1.2167580558664108</v>
      </c>
      <c r="E23" s="47" t="s">
        <v>295</v>
      </c>
      <c r="F23" s="71">
        <f>F27/F31</f>
        <v>1.4489479813890351</v>
      </c>
      <c r="G23" s="71">
        <f t="shared" ref="G23:K23" si="19">G27/G31</f>
        <v>1.3415504911906164</v>
      </c>
      <c r="H23" s="71">
        <f t="shared" si="19"/>
        <v>1.0919656205422053</v>
      </c>
      <c r="I23" s="71">
        <f t="shared" si="19"/>
        <v>0.65282672611093751</v>
      </c>
      <c r="J23" s="71">
        <f t="shared" si="19"/>
        <v>1.9918273115347251</v>
      </c>
      <c r="K23" s="71">
        <f t="shared" si="19"/>
        <v>0.86675033840258187</v>
      </c>
    </row>
    <row r="24" spans="1:11" s="43" customFormat="1" ht="13.2" x14ac:dyDescent="0.25">
      <c r="A24" s="152">
        <f t="shared" si="11"/>
        <v>0.98238693235582231</v>
      </c>
      <c r="B24" s="152">
        <f t="shared" si="12"/>
        <v>2.9099364392966436</v>
      </c>
      <c r="C24" s="156">
        <f t="shared" si="14"/>
        <v>1.7843373721411167</v>
      </c>
      <c r="D24" s="156">
        <f t="shared" si="15"/>
        <v>1.6805070973661504</v>
      </c>
      <c r="E24" s="121" t="s">
        <v>369</v>
      </c>
      <c r="F24" s="71">
        <f>F27/F32</f>
        <v>1.5722368383969823</v>
      </c>
      <c r="G24" s="71">
        <f t="shared" ref="G24:K24" si="20">G27/G32</f>
        <v>1.7887773563353186</v>
      </c>
      <c r="H24" s="71">
        <f t="shared" si="20"/>
        <v>1.5095683267380271</v>
      </c>
      <c r="I24" s="71">
        <f t="shared" si="20"/>
        <v>0.98238693235582231</v>
      </c>
      <c r="J24" s="71">
        <f t="shared" si="20"/>
        <v>2.9099364392966436</v>
      </c>
      <c r="K24" s="71">
        <f t="shared" si="20"/>
        <v>1.9431183397239054</v>
      </c>
    </row>
    <row r="25" spans="1:11" s="43" customFormat="1" ht="13.8" thickBot="1" x14ac:dyDescent="0.3">
      <c r="A25" s="152">
        <f t="shared" si="11"/>
        <v>1.5647050789734336</v>
      </c>
      <c r="B25" s="152">
        <f t="shared" si="12"/>
        <v>18.477658472524745</v>
      </c>
      <c r="C25" s="156">
        <f t="shared" si="14"/>
        <v>6.2690911352573373</v>
      </c>
      <c r="D25" s="156">
        <f t="shared" si="15"/>
        <v>4.6565481252714189</v>
      </c>
      <c r="E25" s="49" t="s">
        <v>296</v>
      </c>
      <c r="F25" s="73">
        <f>F27/F33</f>
        <v>18.477658472524745</v>
      </c>
      <c r="G25" s="73">
        <f t="shared" ref="G25:K25" si="21">G27/G33</f>
        <v>5.3658116898810508</v>
      </c>
      <c r="H25" s="73">
        <f t="shared" si="21"/>
        <v>3.947284560661787</v>
      </c>
      <c r="I25" s="73">
        <f t="shared" si="21"/>
        <v>1.9460129975385116</v>
      </c>
      <c r="J25" s="73">
        <f t="shared" si="21"/>
        <v>6.3130740119645026</v>
      </c>
      <c r="K25" s="73">
        <f t="shared" si="21"/>
        <v>1.5647050789734336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1143630.1400000001</v>
      </c>
      <c r="G27" s="76">
        <f t="shared" ref="G27:K27" si="22">G93+G86</f>
        <v>1618523.37</v>
      </c>
      <c r="H27" s="76">
        <f t="shared" si="22"/>
        <v>1030876.27</v>
      </c>
      <c r="I27" s="76">
        <f t="shared" si="22"/>
        <v>738508.06</v>
      </c>
      <c r="J27" s="76">
        <f t="shared" si="22"/>
        <v>1163110.1499999999</v>
      </c>
      <c r="K27" s="76">
        <f t="shared" si="22"/>
        <v>461021.09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23971.56</v>
      </c>
      <c r="G28" s="76">
        <f t="shared" ref="G28:K28" si="23">G116</f>
        <v>82100.53</v>
      </c>
      <c r="H28" s="76">
        <f t="shared" si="23"/>
        <v>65715.58</v>
      </c>
      <c r="I28" s="76">
        <f t="shared" si="23"/>
        <v>62724.2</v>
      </c>
      <c r="J28" s="76">
        <f t="shared" si="23"/>
        <v>31837.88</v>
      </c>
      <c r="K28" s="76">
        <f t="shared" si="23"/>
        <v>47640.6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20282.95</v>
      </c>
      <c r="H29" s="76">
        <f t="shared" si="24"/>
        <v>21805.25</v>
      </c>
      <c r="I29" s="76">
        <f t="shared" si="24"/>
        <v>17087.28</v>
      </c>
      <c r="J29" s="76">
        <f t="shared" si="24"/>
        <v>9562.5</v>
      </c>
      <c r="K29" s="76">
        <f t="shared" si="24"/>
        <v>8106.09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219367.31</v>
      </c>
      <c r="G30" s="76">
        <f t="shared" ref="G30:K30" si="25">G130</f>
        <v>427069.87</v>
      </c>
      <c r="H30" s="76">
        <f t="shared" si="25"/>
        <v>97571.08</v>
      </c>
      <c r="I30" s="76">
        <f t="shared" si="25"/>
        <v>140646.51</v>
      </c>
      <c r="J30" s="76">
        <f t="shared" si="25"/>
        <v>19438.560000000001</v>
      </c>
      <c r="K30" s="76">
        <f t="shared" si="25"/>
        <v>69964.320000000007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789283.09</v>
      </c>
      <c r="G31" s="76">
        <f t="shared" ref="G31:K31" si="26">G120</f>
        <v>1206457.29</v>
      </c>
      <c r="H31" s="76">
        <f t="shared" si="26"/>
        <v>944055.61</v>
      </c>
      <c r="I31" s="76">
        <f t="shared" si="26"/>
        <v>1131246.67</v>
      </c>
      <c r="J31" s="76">
        <f t="shared" si="26"/>
        <v>583941.26</v>
      </c>
      <c r="K31" s="76">
        <f t="shared" si="26"/>
        <v>531896.06000000006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727390.5</v>
      </c>
      <c r="G32" s="76">
        <f t="shared" ref="G32:K32" si="27">G108</f>
        <v>904821.03</v>
      </c>
      <c r="H32" s="76">
        <f t="shared" si="27"/>
        <v>682894.74</v>
      </c>
      <c r="I32" s="76">
        <f t="shared" si="27"/>
        <v>751748.66</v>
      </c>
      <c r="J32" s="76">
        <f t="shared" si="27"/>
        <v>399702.94</v>
      </c>
      <c r="K32" s="76">
        <f t="shared" si="27"/>
        <v>237258.37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61892.59</v>
      </c>
      <c r="G33" s="76">
        <f t="shared" ref="G33:K33" si="28">G114</f>
        <v>301636.26</v>
      </c>
      <c r="H33" s="76">
        <f t="shared" si="28"/>
        <v>261160.87</v>
      </c>
      <c r="I33" s="76">
        <f t="shared" si="28"/>
        <v>379498.01</v>
      </c>
      <c r="J33" s="76">
        <f t="shared" si="28"/>
        <v>184238.32</v>
      </c>
      <c r="K33" s="76">
        <f t="shared" si="28"/>
        <v>294637.69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3.3288553715145941E-2</v>
      </c>
      <c r="B37" s="139">
        <f t="shared" ref="B37:B41" si="30">MAX(F37:K37)</f>
        <v>0.79845528379413999</v>
      </c>
      <c r="C37" s="160">
        <f t="shared" ref="C37:C41" si="31">AVERAGE(F37:K37)</f>
        <v>0.52129517875875953</v>
      </c>
      <c r="D37" s="160">
        <f t="shared" ref="D37:D41" si="32">MEDIAN(F37:K37)</f>
        <v>0.63512193297478003</v>
      </c>
      <c r="E37" s="47" t="s">
        <v>370</v>
      </c>
      <c r="F37" s="119">
        <f>F43/F44*100%</f>
        <v>0.75534147070096236</v>
      </c>
      <c r="G37" s="119">
        <f t="shared" ref="G37:K37" si="33">G43/G44*100%</f>
        <v>0.78450448088386115</v>
      </c>
      <c r="H37" s="119">
        <f t="shared" si="33"/>
        <v>0.79845528379413999</v>
      </c>
      <c r="I37" s="119">
        <f t="shared" si="33"/>
        <v>0.51490239524859771</v>
      </c>
      <c r="J37" s="119">
        <f t="shared" si="33"/>
        <v>3.3288553715145941E-2</v>
      </c>
      <c r="K37" s="119">
        <f t="shared" si="33"/>
        <v>0.24127888820985061</v>
      </c>
    </row>
    <row r="38" spans="1:11" s="43" customFormat="1" ht="13.2" x14ac:dyDescent="0.25">
      <c r="A38" s="139">
        <f t="shared" si="29"/>
        <v>3.4969094942315336E-2</v>
      </c>
      <c r="B38" s="139">
        <f t="shared" si="30"/>
        <v>4.0696930699815379</v>
      </c>
      <c r="C38" s="155">
        <f t="shared" si="31"/>
        <v>2.0575138511596225</v>
      </c>
      <c r="D38" s="156">
        <f t="shared" si="32"/>
        <v>2.0743851062355407</v>
      </c>
      <c r="E38" s="50" t="s">
        <v>298</v>
      </c>
      <c r="F38" s="122">
        <f>F43/F45</f>
        <v>3.0873294009616745</v>
      </c>
      <c r="G38" s="122">
        <f t="shared" ref="G38:K38" si="34">G43/G45</f>
        <v>3.7045890238899064</v>
      </c>
      <c r="H38" s="122">
        <f t="shared" si="34"/>
        <v>4.0696930699815379</v>
      </c>
      <c r="I38" s="122">
        <f t="shared" si="34"/>
        <v>1.0614408115094063</v>
      </c>
      <c r="J38" s="122">
        <f t="shared" si="34"/>
        <v>3.4969094942315336E-2</v>
      </c>
      <c r="K38" s="122">
        <f t="shared" si="34"/>
        <v>0.387061705672894</v>
      </c>
    </row>
    <row r="39" spans="1:11" s="43" customFormat="1" ht="13.2" x14ac:dyDescent="0.25">
      <c r="A39" s="139">
        <f t="shared" si="29"/>
        <v>1.0504840565183453</v>
      </c>
      <c r="B39" s="139">
        <f t="shared" si="30"/>
        <v>5.0969580295629902</v>
      </c>
      <c r="C39" s="155">
        <f t="shared" si="31"/>
        <v>3.1037705934553634</v>
      </c>
      <c r="D39" s="156">
        <f t="shared" si="32"/>
        <v>3.0743851062355398</v>
      </c>
      <c r="E39" s="50" t="s">
        <v>299</v>
      </c>
      <c r="F39" s="122">
        <f>F44/F45</f>
        <v>4.0873294009616741</v>
      </c>
      <c r="G39" s="122">
        <f t="shared" ref="G39:K39" si="35">G44/G45</f>
        <v>4.7222025038227118</v>
      </c>
      <c r="H39" s="122">
        <f t="shared" si="35"/>
        <v>5.0969580295629902</v>
      </c>
      <c r="I39" s="122">
        <f t="shared" si="35"/>
        <v>2.0614408115094061</v>
      </c>
      <c r="J39" s="122">
        <f t="shared" si="35"/>
        <v>1.0504840565183453</v>
      </c>
      <c r="K39" s="122">
        <f t="shared" si="35"/>
        <v>1.6042087583570503</v>
      </c>
    </row>
    <row r="40" spans="1:11" s="43" customFormat="1" ht="13.2" x14ac:dyDescent="0.25">
      <c r="A40" s="139">
        <f t="shared" si="29"/>
        <v>0</v>
      </c>
      <c r="B40" s="139">
        <f t="shared" si="30"/>
        <v>0.69510217729652601</v>
      </c>
      <c r="C40" s="160">
        <f t="shared" si="31"/>
        <v>0.35055732899671793</v>
      </c>
      <c r="D40" s="160">
        <f t="shared" si="32"/>
        <v>0.41054568716407341</v>
      </c>
      <c r="E40" s="77" t="s">
        <v>371</v>
      </c>
      <c r="F40" s="119">
        <f>F46/F44*100%</f>
        <v>0.47740911312315082</v>
      </c>
      <c r="G40" s="119">
        <f t="shared" ref="G40:K40" si="36">G46/G44*100%</f>
        <v>0.43051775168932838</v>
      </c>
      <c r="H40" s="119">
        <f t="shared" si="36"/>
        <v>0.69510217729652601</v>
      </c>
      <c r="I40" s="119">
        <f t="shared" si="36"/>
        <v>0.39057362263881845</v>
      </c>
      <c r="J40" s="119">
        <f t="shared" si="36"/>
        <v>0</v>
      </c>
      <c r="K40" s="119">
        <f t="shared" si="36"/>
        <v>0.10974130923248425</v>
      </c>
    </row>
    <row r="41" spans="1:11" s="43" customFormat="1" ht="13.8" thickBot="1" x14ac:dyDescent="0.3">
      <c r="A41" s="139">
        <f t="shared" si="29"/>
        <v>-53.469941232588624</v>
      </c>
      <c r="B41" s="139">
        <f t="shared" si="30"/>
        <v>82.361792529674076</v>
      </c>
      <c r="C41" s="155">
        <f t="shared" si="31"/>
        <v>18.953152913800441</v>
      </c>
      <c r="D41" s="156">
        <f t="shared" si="32"/>
        <v>12.671848402282718</v>
      </c>
      <c r="E41" s="51" t="s">
        <v>300</v>
      </c>
      <c r="F41" s="123">
        <f>(F47+F48)/F48</f>
        <v>-1.2426543822015246</v>
      </c>
      <c r="G41" s="123">
        <f t="shared" ref="G41:K41" si="37">(G47+G48)/G48</f>
        <v>4.9238102198753211</v>
      </c>
      <c r="H41" s="123">
        <f t="shared" si="37"/>
        <v>-53.469941232588624</v>
      </c>
      <c r="I41" s="123">
        <f t="shared" si="37"/>
        <v>82.361792529674076</v>
      </c>
      <c r="J41" s="123">
        <f t="shared" si="37"/>
        <v>60.72602376335329</v>
      </c>
      <c r="K41" s="123">
        <f t="shared" si="37"/>
        <v>20.419886584690115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596178.25</v>
      </c>
      <c r="G43" s="76">
        <f t="shared" ref="G43:K43" si="38">G129+G130</f>
        <v>946471.15</v>
      </c>
      <c r="H43" s="76">
        <f t="shared" si="38"/>
        <v>753786.19</v>
      </c>
      <c r="I43" s="76">
        <f t="shared" si="38"/>
        <v>582481.62</v>
      </c>
      <c r="J43" s="76">
        <f t="shared" si="38"/>
        <v>19438.560000000001</v>
      </c>
      <c r="K43" s="76">
        <f t="shared" si="38"/>
        <v>128335.29000000001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789283.09</v>
      </c>
      <c r="G44" s="76">
        <f t="shared" ref="G44:K44" si="39">G120</f>
        <v>1206457.29</v>
      </c>
      <c r="H44" s="76">
        <f t="shared" si="39"/>
        <v>944055.61</v>
      </c>
      <c r="I44" s="76">
        <f t="shared" si="39"/>
        <v>1131246.67</v>
      </c>
      <c r="J44" s="76">
        <f t="shared" si="39"/>
        <v>583941.26</v>
      </c>
      <c r="K44" s="76">
        <f t="shared" si="39"/>
        <v>531896.06000000006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193104.84</v>
      </c>
      <c r="G45" s="76">
        <f t="shared" ref="G45:K45" si="40">G122</f>
        <v>255486.14</v>
      </c>
      <c r="H45" s="76">
        <f t="shared" si="40"/>
        <v>185219.42</v>
      </c>
      <c r="I45" s="76">
        <f t="shared" si="40"/>
        <v>548765.05000000005</v>
      </c>
      <c r="J45" s="76">
        <f t="shared" si="40"/>
        <v>555878.27</v>
      </c>
      <c r="K45" s="76">
        <f t="shared" si="40"/>
        <v>331562.87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376810.94</v>
      </c>
      <c r="G46" s="76">
        <f t="shared" ref="G46:K46" si="41">G129</f>
        <v>519401.28</v>
      </c>
      <c r="H46" s="76">
        <f t="shared" si="41"/>
        <v>656215.11</v>
      </c>
      <c r="I46" s="76">
        <f t="shared" si="41"/>
        <v>441835.11</v>
      </c>
      <c r="J46" s="76">
        <f t="shared" si="41"/>
        <v>0</v>
      </c>
      <c r="K46" s="76">
        <f t="shared" si="41"/>
        <v>58370.97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-62372.3</v>
      </c>
      <c r="G47" s="76">
        <f t="shared" ref="G47:K47" si="42">G102</f>
        <v>70866.720000000001</v>
      </c>
      <c r="H47" s="76">
        <f t="shared" si="42"/>
        <v>-360275.63</v>
      </c>
      <c r="I47" s="76">
        <f t="shared" si="42"/>
        <v>429510.53</v>
      </c>
      <c r="J47" s="76">
        <f t="shared" si="42"/>
        <v>225147.4</v>
      </c>
      <c r="K47" s="76">
        <f t="shared" si="42"/>
        <v>164721.42000000001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27811.82</v>
      </c>
      <c r="G48" s="76">
        <f t="shared" ref="G48:K48" si="43">G101</f>
        <v>18060.689999999999</v>
      </c>
      <c r="H48" s="76">
        <f t="shared" si="43"/>
        <v>6614.21</v>
      </c>
      <c r="I48" s="76">
        <f t="shared" si="43"/>
        <v>5279.02</v>
      </c>
      <c r="J48" s="76">
        <f t="shared" si="43"/>
        <v>3769.67</v>
      </c>
      <c r="K48" s="76">
        <f t="shared" si="43"/>
        <v>8482.1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-0.35411105239261648</v>
      </c>
      <c r="B52" s="139">
        <f t="shared" ref="B52:B63" si="45">MAX(F52:K52)</f>
        <v>1.0865933848242202</v>
      </c>
      <c r="C52" s="160">
        <f t="shared" ref="C52:C63" si="46">AVERAGE(F52:K52)</f>
        <v>0.19243033478594404</v>
      </c>
      <c r="D52" s="160">
        <f t="shared" ref="D52:D63" si="47">MEDIAN(F52:K52)</f>
        <v>0.13597704649999812</v>
      </c>
      <c r="E52" s="50" t="s">
        <v>350</v>
      </c>
      <c r="F52" s="119">
        <f t="shared" ref="F52:K52" si="48">(F65/(F70+F71))*100%</f>
        <v>-0.15737487423386551</v>
      </c>
      <c r="G52" s="119">
        <f t="shared" si="48"/>
        <v>-3.0893508332903181E-2</v>
      </c>
      <c r="H52" s="119">
        <f t="shared" si="48"/>
        <v>-0.35411105239261648</v>
      </c>
      <c r="I52" s="119">
        <f t="shared" si="48"/>
        <v>1.0865933848242202</v>
      </c>
      <c r="J52" s="119">
        <f t="shared" si="48"/>
        <v>0.30284760133289945</v>
      </c>
      <c r="K52" s="120">
        <f t="shared" si="48"/>
        <v>0.30752045751792978</v>
      </c>
    </row>
    <row r="53" spans="1:11" s="43" customFormat="1" ht="13.2" x14ac:dyDescent="0.25">
      <c r="A53" s="139">
        <f t="shared" si="44"/>
        <v>-1.0329522606916151</v>
      </c>
      <c r="B53" s="139">
        <f t="shared" si="45"/>
        <v>-0.15164145655265834</v>
      </c>
      <c r="C53" s="160">
        <f t="shared" si="46"/>
        <v>-0.62175638487788121</v>
      </c>
      <c r="D53" s="160">
        <f t="shared" si="47"/>
        <v>-0.69422277306752012</v>
      </c>
      <c r="E53" s="50" t="s">
        <v>351</v>
      </c>
      <c r="F53" s="119">
        <f>(F66/F70)*100%</f>
        <v>-0.15164145655265834</v>
      </c>
      <c r="G53" s="119">
        <f t="shared" ref="G53:K53" si="49">(G66/G70)*100%</f>
        <v>-0.2483728928957103</v>
      </c>
      <c r="H53" s="119">
        <f t="shared" si="49"/>
        <v>-0.61031068739798588</v>
      </c>
      <c r="I53" s="119">
        <f t="shared" si="49"/>
        <v>-1.0329522606916151</v>
      </c>
      <c r="J53" s="119">
        <f t="shared" si="49"/>
        <v>-0.77813485873705435</v>
      </c>
      <c r="K53" s="120">
        <f t="shared" si="49"/>
        <v>-0.90912615299226329</v>
      </c>
    </row>
    <row r="54" spans="1:11" s="43" customFormat="1" ht="13.2" x14ac:dyDescent="0.25">
      <c r="A54" s="139">
        <f t="shared" si="44"/>
        <v>-3.4849869244856662E-3</v>
      </c>
      <c r="B54" s="139">
        <f t="shared" si="45"/>
        <v>0.18228568522769936</v>
      </c>
      <c r="C54" s="160">
        <f t="shared" si="46"/>
        <v>8.9503772243135812E-2</v>
      </c>
      <c r="D54" s="160">
        <f t="shared" si="47"/>
        <v>9.2343997797524072E-2</v>
      </c>
      <c r="E54" s="50" t="s">
        <v>342</v>
      </c>
      <c r="F54" s="119">
        <f>(F67/SUM(F72:F74))*100%</f>
        <v>-3.4849869244856662E-3</v>
      </c>
      <c r="G54" s="119">
        <f t="shared" ref="G54:K54" si="50">(G67/SUM(G72:G74))*100%</f>
        <v>4.3564160858089201E-2</v>
      </c>
      <c r="H54" s="119">
        <f t="shared" si="50"/>
        <v>2.5833154147836285E-2</v>
      </c>
      <c r="I54" s="119">
        <f t="shared" si="50"/>
        <v>0.18228568522769936</v>
      </c>
      <c r="J54" s="119">
        <f t="shared" si="50"/>
        <v>0.14112383473695894</v>
      </c>
      <c r="K54" s="120">
        <f t="shared" si="50"/>
        <v>0.1477007854127167</v>
      </c>
    </row>
    <row r="55" spans="1:11" s="43" customFormat="1" ht="13.2" x14ac:dyDescent="0.25">
      <c r="A55" s="139">
        <f t="shared" si="44"/>
        <v>-2.9750708104475408E-2</v>
      </c>
      <c r="B55" s="139">
        <f t="shared" si="45"/>
        <v>0.24251941111815503</v>
      </c>
      <c r="C55" s="160">
        <f t="shared" si="46"/>
        <v>7.5265284666318752E-2</v>
      </c>
      <c r="D55" s="160">
        <f t="shared" si="47"/>
        <v>2.5885492062861951E-2</v>
      </c>
      <c r="E55" s="50" t="s">
        <v>343</v>
      </c>
      <c r="F55" s="119">
        <f>((F72-F76)/F76)*100%</f>
        <v>-2.9750708104475408E-2</v>
      </c>
      <c r="G55" s="119">
        <f t="shared" ref="G55:K56" si="51">((G72-G76)/G76)*100%</f>
        <v>2.3594521613673702E-2</v>
      </c>
      <c r="H55" s="119">
        <f t="shared" si="51"/>
        <v>2.81764625120502E-2</v>
      </c>
      <c r="I55" s="119">
        <f t="shared" si="51"/>
        <v>0.24251941111815503</v>
      </c>
      <c r="J55" s="119">
        <f t="shared" si="51"/>
        <v>1.3755151772176214E-2</v>
      </c>
      <c r="K55" s="120">
        <f t="shared" si="51"/>
        <v>0.17329686908633274</v>
      </c>
    </row>
    <row r="56" spans="1:11" s="43" customFormat="1" ht="13.2" x14ac:dyDescent="0.25">
      <c r="A56" s="139">
        <f t="shared" si="44"/>
        <v>0</v>
      </c>
      <c r="B56" s="139">
        <f t="shared" si="45"/>
        <v>0.93635723352268352</v>
      </c>
      <c r="C56" s="160">
        <f t="shared" si="46"/>
        <v>0.41268968425454389</v>
      </c>
      <c r="D56" s="160">
        <f t="shared" si="47"/>
        <v>0.35720075174774601</v>
      </c>
      <c r="E56" s="50" t="s">
        <v>344</v>
      </c>
      <c r="F56" s="119">
        <f>((F73-F77)/F77)*100%</f>
        <v>0.93635723352268352</v>
      </c>
      <c r="G56" s="119">
        <f t="shared" si="51"/>
        <v>0.71440150349549203</v>
      </c>
      <c r="H56" s="119">
        <f t="shared" si="51"/>
        <v>0</v>
      </c>
      <c r="I56" s="119">
        <f t="shared" si="51"/>
        <v>0</v>
      </c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-5.2035579717309315E-2</v>
      </c>
      <c r="B58" s="139">
        <f t="shared" si="45"/>
        <v>8.1085826053305735E-2</v>
      </c>
      <c r="C58" s="155">
        <f t="shared" si="46"/>
        <v>1.832249863304421E-2</v>
      </c>
      <c r="D58" s="156">
        <f t="shared" si="47"/>
        <v>2.3495617594278755E-2</v>
      </c>
      <c r="E58" s="50" t="s">
        <v>356</v>
      </c>
      <c r="F58" s="71">
        <f>F68/(F70+F71+F72+F73+F74+F75)</f>
        <v>-9.2981238834016471E-3</v>
      </c>
      <c r="G58" s="71">
        <f t="shared" ref="G58:K58" si="52">G68/(G70+G71+G72+G73+G74)</f>
        <v>9.0729527702886979E-3</v>
      </c>
      <c r="H58" s="71">
        <f t="shared" si="52"/>
        <v>-5.2035579717309315E-2</v>
      </c>
      <c r="I58" s="71">
        <f t="shared" si="52"/>
        <v>8.1085826053305735E-2</v>
      </c>
      <c r="J58" s="71">
        <f t="shared" si="52"/>
        <v>4.3191634157112982E-2</v>
      </c>
      <c r="K58" s="72">
        <f t="shared" si="52"/>
        <v>3.7918282418268813E-2</v>
      </c>
    </row>
    <row r="59" spans="1:11" s="43" customFormat="1" ht="13.2" x14ac:dyDescent="0.25">
      <c r="A59" s="139">
        <f t="shared" si="44"/>
        <v>-5.2096214515127935E-2</v>
      </c>
      <c r="B59" s="139">
        <f t="shared" si="45"/>
        <v>8.1044069218020265E-2</v>
      </c>
      <c r="C59" s="155">
        <f t="shared" si="46"/>
        <v>1.8256306342117213E-2</v>
      </c>
      <c r="D59" s="156">
        <f t="shared" si="47"/>
        <v>2.345540013762254E-2</v>
      </c>
      <c r="E59" s="50" t="s">
        <v>361</v>
      </c>
      <c r="F59" s="71">
        <f>F69/(F70+F71+F72+F73+F74+F75)</f>
        <v>-9.3516416544978092E-3</v>
      </c>
      <c r="G59" s="71">
        <f t="shared" ref="G59:K59" si="53">G69/(G70+G71+G72+G73+G74+G75)</f>
        <v>8.996001229704639E-3</v>
      </c>
      <c r="H59" s="71">
        <f t="shared" si="53"/>
        <v>-5.2096214515127935E-2</v>
      </c>
      <c r="I59" s="71">
        <f t="shared" si="53"/>
        <v>8.1044069218020265E-2</v>
      </c>
      <c r="J59" s="71">
        <f t="shared" si="53"/>
        <v>4.303082472906368E-2</v>
      </c>
      <c r="K59" s="72">
        <f t="shared" si="53"/>
        <v>3.7914799045540445E-2</v>
      </c>
    </row>
    <row r="60" spans="1:11" s="43" customFormat="1" ht="26.4" x14ac:dyDescent="0.25">
      <c r="A60" s="139">
        <f t="shared" si="44"/>
        <v>-0.26606147703523525</v>
      </c>
      <c r="B60" s="139">
        <f t="shared" si="45"/>
        <v>0.40535210592045323</v>
      </c>
      <c r="C60" s="160">
        <f t="shared" si="46"/>
        <v>8.8993358688053678E-2</v>
      </c>
      <c r="D60" s="160">
        <f t="shared" si="47"/>
        <v>0.12200385799313451</v>
      </c>
      <c r="E60" s="50" t="s">
        <v>372</v>
      </c>
      <c r="F60" s="119">
        <f>F65/F79*100%</f>
        <v>-0.1875052713976173</v>
      </c>
      <c r="G60" s="119">
        <f t="shared" ref="G60:K60" si="54">G65/G79*100%</f>
        <v>-3.8584789023074328E-2</v>
      </c>
      <c r="H60" s="119">
        <f t="shared" si="54"/>
        <v>-0.26606147703523525</v>
      </c>
      <c r="I60" s="119">
        <f t="shared" si="54"/>
        <v>0.40535210592045323</v>
      </c>
      <c r="J60" s="119">
        <f t="shared" si="54"/>
        <v>0.33816707865445234</v>
      </c>
      <c r="K60" s="120">
        <f t="shared" si="54"/>
        <v>0.28259250500934335</v>
      </c>
    </row>
    <row r="61" spans="1:11" s="43" customFormat="1" ht="13.2" x14ac:dyDescent="0.25">
      <c r="A61" s="139">
        <f t="shared" si="44"/>
        <v>-0.38207243956741066</v>
      </c>
      <c r="B61" s="139">
        <f t="shared" si="45"/>
        <v>0.38414035000712227</v>
      </c>
      <c r="C61" s="155">
        <f t="shared" si="46"/>
        <v>0.11166951789668607</v>
      </c>
      <c r="D61" s="156">
        <f t="shared" si="47"/>
        <v>0.1839647145708572</v>
      </c>
      <c r="E61" s="50" t="s">
        <v>373</v>
      </c>
      <c r="F61" s="71">
        <f>F69/F79</f>
        <v>-7.9478834393880149E-2</v>
      </c>
      <c r="G61" s="71">
        <f t="shared" ref="G61:K61" si="55">G69/G79</f>
        <v>5.8242194383855889E-2</v>
      </c>
      <c r="H61" s="71">
        <f t="shared" si="55"/>
        <v>-0.38207243956741066</v>
      </c>
      <c r="I61" s="71">
        <f t="shared" si="55"/>
        <v>0.37949860219257048</v>
      </c>
      <c r="J61" s="71">
        <f t="shared" si="55"/>
        <v>0.38414035000712227</v>
      </c>
      <c r="K61" s="72">
        <f t="shared" si="55"/>
        <v>0.30968723475785853</v>
      </c>
    </row>
    <row r="62" spans="1:11" s="43" customFormat="1" ht="13.2" x14ac:dyDescent="0.25">
      <c r="A62" s="139">
        <f t="shared" si="44"/>
        <v>-2.2228360827390561</v>
      </c>
      <c r="B62" s="139">
        <f t="shared" si="45"/>
        <v>-0.32485617657227028</v>
      </c>
      <c r="C62" s="155">
        <f t="shared" si="46"/>
        <v>-1.109208890433826</v>
      </c>
      <c r="D62" s="156">
        <f t="shared" si="47"/>
        <v>-1.0298675455535597</v>
      </c>
      <c r="E62" s="50" t="s">
        <v>374</v>
      </c>
      <c r="F62" s="71">
        <f>F69/F80</f>
        <v>-0.32485617657227028</v>
      </c>
      <c r="G62" s="71">
        <f>G66/G80</f>
        <v>-1.2571215800590982</v>
      </c>
      <c r="H62" s="71">
        <f>H66/H80</f>
        <v>-2.2228360827390561</v>
      </c>
      <c r="I62" s="71">
        <f>I66/I80</f>
        <v>-0.78373291083315155</v>
      </c>
      <c r="J62" s="71">
        <f>J66/J80</f>
        <v>-0.80261351104802126</v>
      </c>
      <c r="K62" s="72">
        <f>K66/K80</f>
        <v>-1.2640930813513589</v>
      </c>
    </row>
    <row r="63" spans="1:11" s="43" customFormat="1" ht="13.8" thickBot="1" x14ac:dyDescent="0.3">
      <c r="A63" s="139">
        <f t="shared" si="44"/>
        <v>-0.29851024773133567</v>
      </c>
      <c r="B63" s="139">
        <f t="shared" si="45"/>
        <v>0.46290444774408268</v>
      </c>
      <c r="C63" s="155">
        <f t="shared" si="46"/>
        <v>9.7559315951587067E-2</v>
      </c>
      <c r="D63" s="156">
        <f t="shared" si="47"/>
        <v>0.14758236023364471</v>
      </c>
      <c r="E63" s="51" t="s">
        <v>302</v>
      </c>
      <c r="F63" s="73">
        <f t="shared" ref="F63:K63" si="56">F65/(F80+F81)</f>
        <v>-0.2596782633391902</v>
      </c>
      <c r="G63" s="73">
        <f t="shared" si="56"/>
        <v>-6.0074404098597961E-2</v>
      </c>
      <c r="H63" s="73">
        <f t="shared" si="56"/>
        <v>-0.29851024773133567</v>
      </c>
      <c r="I63" s="73">
        <f t="shared" si="56"/>
        <v>0.46290444774408268</v>
      </c>
      <c r="J63" s="73">
        <f t="shared" si="56"/>
        <v>0.35523912456588741</v>
      </c>
      <c r="K63" s="74">
        <f t="shared" si="56"/>
        <v>0.38547523856867616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-147994.74</v>
      </c>
      <c r="G65" s="76">
        <f t="shared" ref="G65:K65" si="57">G97</f>
        <v>-46550.9</v>
      </c>
      <c r="H65" s="76">
        <f t="shared" si="57"/>
        <v>-251176.83</v>
      </c>
      <c r="I65" s="76">
        <f t="shared" si="57"/>
        <v>458553.22</v>
      </c>
      <c r="J65" s="76">
        <f t="shared" si="57"/>
        <v>197469.71</v>
      </c>
      <c r="K65" s="76">
        <f t="shared" si="57"/>
        <v>150309.84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-128104.07</v>
      </c>
      <c r="G66" s="76">
        <f t="shared" ref="G66:K66" si="58">G95</f>
        <v>-321177.14</v>
      </c>
      <c r="H66" s="76">
        <f t="shared" si="58"/>
        <v>-411712.41</v>
      </c>
      <c r="I66" s="76">
        <f t="shared" si="58"/>
        <v>-430085.23</v>
      </c>
      <c r="J66" s="76">
        <f t="shared" si="58"/>
        <v>-446155.41</v>
      </c>
      <c r="K66" s="76">
        <f t="shared" si="58"/>
        <v>-419126.33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-19890.669999999998</v>
      </c>
      <c r="G67" s="76">
        <f t="shared" ref="G67:K67" si="59">G92</f>
        <v>274626.24</v>
      </c>
      <c r="H67" s="76">
        <f t="shared" si="59"/>
        <v>160535.57999999999</v>
      </c>
      <c r="I67" s="76">
        <f t="shared" si="59"/>
        <v>888638.45</v>
      </c>
      <c r="J67" s="76">
        <f t="shared" si="59"/>
        <v>643625.12</v>
      </c>
      <c r="K67" s="76">
        <f t="shared" si="59"/>
        <v>569436.17000000004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-62372.3</v>
      </c>
      <c r="G68" s="76">
        <f t="shared" ref="G68:K68" si="60">G102</f>
        <v>70866.720000000001</v>
      </c>
      <c r="H68" s="76">
        <f t="shared" si="60"/>
        <v>-360275.63</v>
      </c>
      <c r="I68" s="76">
        <f t="shared" si="60"/>
        <v>429510.53</v>
      </c>
      <c r="J68" s="76">
        <f t="shared" si="60"/>
        <v>225147.4</v>
      </c>
      <c r="K68" s="76">
        <f t="shared" si="60"/>
        <v>164721.42000000001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-62731.3</v>
      </c>
      <c r="G69" s="76">
        <f t="shared" ref="G69:K69" si="61">G104</f>
        <v>70266.720000000001</v>
      </c>
      <c r="H69" s="76">
        <f t="shared" si="61"/>
        <v>-360697.63</v>
      </c>
      <c r="I69" s="76">
        <f t="shared" si="61"/>
        <v>429306.53</v>
      </c>
      <c r="J69" s="76">
        <f t="shared" si="61"/>
        <v>224315.4</v>
      </c>
      <c r="K69" s="76">
        <f t="shared" si="61"/>
        <v>164721.42000000001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844782.64</v>
      </c>
      <c r="G70" s="76">
        <f t="shared" ref="G70:K70" si="62">G93</f>
        <v>1293124.77</v>
      </c>
      <c r="H70" s="76">
        <f t="shared" si="62"/>
        <v>674594.79</v>
      </c>
      <c r="I70" s="76">
        <f t="shared" si="62"/>
        <v>416365.06</v>
      </c>
      <c r="J70" s="76">
        <f t="shared" si="62"/>
        <v>573365.15</v>
      </c>
      <c r="K70" s="76">
        <f t="shared" si="62"/>
        <v>461021.09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95613.6</v>
      </c>
      <c r="G71" s="76">
        <f t="shared" ref="G71:K71" si="63">G98</f>
        <v>213693.41</v>
      </c>
      <c r="H71" s="76">
        <f t="shared" si="63"/>
        <v>34721.760000000002</v>
      </c>
      <c r="I71" s="76">
        <f t="shared" si="63"/>
        <v>5644.89</v>
      </c>
      <c r="J71" s="76">
        <f t="shared" si="63"/>
        <v>78678.02</v>
      </c>
      <c r="K71" s="76">
        <f t="shared" si="63"/>
        <v>27758.880000000001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5407283.2400000002</v>
      </c>
      <c r="G72" s="76">
        <f t="shared" ref="G72:K74" si="64">G85</f>
        <v>5977300.21</v>
      </c>
      <c r="H72" s="76">
        <f t="shared" si="64"/>
        <v>5858042.1399999997</v>
      </c>
      <c r="I72" s="76">
        <f t="shared" si="64"/>
        <v>4552833.5999999996</v>
      </c>
      <c r="J72" s="76">
        <f t="shared" si="64"/>
        <v>3970966.67</v>
      </c>
      <c r="K72" s="76">
        <f t="shared" si="64"/>
        <v>3855336.1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298847.5</v>
      </c>
      <c r="G73" s="76">
        <f t="shared" si="64"/>
        <v>325398.59999999998</v>
      </c>
      <c r="H73" s="76">
        <f t="shared" si="64"/>
        <v>356281.48</v>
      </c>
      <c r="I73" s="76">
        <f t="shared" si="64"/>
        <v>322143</v>
      </c>
      <c r="J73" s="76">
        <f t="shared" si="64"/>
        <v>589745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1400</v>
      </c>
      <c r="G74" s="76">
        <f t="shared" si="64"/>
        <v>1250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60125.18</v>
      </c>
      <c r="G75" s="76">
        <f t="shared" ref="G75:K75" si="65">G100</f>
        <v>116.78</v>
      </c>
      <c r="H75" s="76">
        <f t="shared" si="65"/>
        <v>41.97</v>
      </c>
      <c r="I75" s="76">
        <f t="shared" si="65"/>
        <v>212.05</v>
      </c>
      <c r="J75" s="76">
        <f t="shared" si="65"/>
        <v>145.47999999999999</v>
      </c>
      <c r="K75" s="76">
        <f t="shared" si="65"/>
        <v>399.11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5573086.5099999998</v>
      </c>
      <c r="G76" s="76">
        <f t="shared" ref="G76:K78" si="66">G89</f>
        <v>5839519.54</v>
      </c>
      <c r="H76" s="76">
        <f t="shared" si="66"/>
        <v>5697506.5599999996</v>
      </c>
      <c r="I76" s="76">
        <f t="shared" si="66"/>
        <v>3664195.15</v>
      </c>
      <c r="J76" s="76">
        <f t="shared" si="66"/>
        <v>3917086.55</v>
      </c>
      <c r="K76" s="76">
        <f t="shared" si="66"/>
        <v>3285899.93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154334.9</v>
      </c>
      <c r="G77" s="76">
        <f t="shared" si="66"/>
        <v>189803.03</v>
      </c>
      <c r="H77" s="76">
        <f t="shared" si="66"/>
        <v>356281.48</v>
      </c>
      <c r="I77" s="76">
        <f t="shared" si="66"/>
        <v>322143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789283.09</v>
      </c>
      <c r="G79" s="76">
        <f t="shared" ref="G79:K79" si="67">G120</f>
        <v>1206457.29</v>
      </c>
      <c r="H79" s="76">
        <f t="shared" si="67"/>
        <v>944055.61</v>
      </c>
      <c r="I79" s="76">
        <f t="shared" si="67"/>
        <v>1131246.67</v>
      </c>
      <c r="J79" s="76">
        <f t="shared" si="67"/>
        <v>583941.26</v>
      </c>
      <c r="K79" s="76">
        <f t="shared" si="67"/>
        <v>531896.06000000006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193104.84</v>
      </c>
      <c r="G80" s="76">
        <f t="shared" ref="G80:K80" si="68">G122</f>
        <v>255486.14</v>
      </c>
      <c r="H80" s="76">
        <f t="shared" si="68"/>
        <v>185219.42</v>
      </c>
      <c r="I80" s="76">
        <f t="shared" si="68"/>
        <v>548765.05000000005</v>
      </c>
      <c r="J80" s="76">
        <f t="shared" si="68"/>
        <v>555878.27</v>
      </c>
      <c r="K80" s="76">
        <f t="shared" si="68"/>
        <v>331562.87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376810.94</v>
      </c>
      <c r="G81" s="76">
        <f t="shared" ref="G81:K81" si="69">G129</f>
        <v>519401.28</v>
      </c>
      <c r="H81" s="76">
        <f t="shared" si="69"/>
        <v>656215.11</v>
      </c>
      <c r="I81" s="76">
        <f t="shared" si="69"/>
        <v>441835.11</v>
      </c>
      <c r="J81" s="76">
        <f t="shared" si="69"/>
        <v>0</v>
      </c>
      <c r="K81" s="76">
        <f t="shared" si="69"/>
        <v>58370.97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5707530.7400000002</v>
      </c>
      <c r="G84" s="90">
        <v>6303948.8099999996</v>
      </c>
      <c r="H84" s="90">
        <v>6214323.6200000001</v>
      </c>
      <c r="I84" s="90">
        <v>4874976.5999999996</v>
      </c>
      <c r="J84" s="90">
        <v>4560711.67</v>
      </c>
      <c r="K84" s="90">
        <v>3855336.1</v>
      </c>
    </row>
    <row r="85" spans="3:11" x14ac:dyDescent="0.3">
      <c r="E85" s="11" t="s">
        <v>3</v>
      </c>
      <c r="F85" s="90">
        <v>5407283.2400000002</v>
      </c>
      <c r="G85" s="90">
        <v>5977300.21</v>
      </c>
      <c r="H85" s="90">
        <v>5858042.1399999997</v>
      </c>
      <c r="I85" s="90">
        <v>4552833.5999999996</v>
      </c>
      <c r="J85" s="90">
        <v>3970966.67</v>
      </c>
      <c r="K85" s="90">
        <v>3855336.1</v>
      </c>
    </row>
    <row r="86" spans="3:11" x14ac:dyDescent="0.3">
      <c r="E86" s="11" t="s">
        <v>4</v>
      </c>
      <c r="F86" s="90">
        <v>298847.5</v>
      </c>
      <c r="G86" s="90">
        <v>325398.59999999998</v>
      </c>
      <c r="H86" s="90">
        <v>356281.48</v>
      </c>
      <c r="I86" s="90">
        <v>322143</v>
      </c>
      <c r="J86" s="90">
        <v>589745</v>
      </c>
      <c r="K86" s="107">
        <v>0</v>
      </c>
    </row>
    <row r="87" spans="3:11" x14ac:dyDescent="0.3">
      <c r="E87" s="11" t="s">
        <v>5</v>
      </c>
      <c r="F87" s="90">
        <v>1400</v>
      </c>
      <c r="G87" s="90">
        <v>1250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5727421.4100000001</v>
      </c>
      <c r="G88" s="90">
        <v>6029322.5700000003</v>
      </c>
      <c r="H88" s="90">
        <v>6053788.04</v>
      </c>
      <c r="I88" s="90">
        <v>3986338.15</v>
      </c>
      <c r="J88" s="90">
        <v>3917086.55</v>
      </c>
      <c r="K88" s="90">
        <v>3285899.93</v>
      </c>
    </row>
    <row r="89" spans="3:11" x14ac:dyDescent="0.3">
      <c r="E89" s="11" t="s">
        <v>7</v>
      </c>
      <c r="F89" s="90">
        <v>5573086.5099999998</v>
      </c>
      <c r="G89" s="90">
        <v>5839519.54</v>
      </c>
      <c r="H89" s="90">
        <v>5697506.5599999996</v>
      </c>
      <c r="I89" s="90">
        <v>3664195.15</v>
      </c>
      <c r="J89" s="90">
        <v>3917086.55</v>
      </c>
      <c r="K89" s="90">
        <v>3285899.93</v>
      </c>
    </row>
    <row r="90" spans="3:11" x14ac:dyDescent="0.3">
      <c r="E90" s="11" t="s">
        <v>8</v>
      </c>
      <c r="F90" s="90">
        <v>154334.9</v>
      </c>
      <c r="G90" s="90">
        <v>189803.03</v>
      </c>
      <c r="H90" s="90">
        <v>356281.48</v>
      </c>
      <c r="I90" s="90">
        <v>322143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-19890.669999999998</v>
      </c>
      <c r="G92" s="90">
        <v>274626.24</v>
      </c>
      <c r="H92" s="90">
        <v>160535.57999999999</v>
      </c>
      <c r="I92" s="90">
        <v>888638.45</v>
      </c>
      <c r="J92" s="90">
        <v>643625.12</v>
      </c>
      <c r="K92" s="90">
        <v>569436.17000000004</v>
      </c>
    </row>
    <row r="93" spans="3:11" x14ac:dyDescent="0.3">
      <c r="E93" s="11" t="s">
        <v>11</v>
      </c>
      <c r="F93" s="90">
        <v>844782.64</v>
      </c>
      <c r="G93" s="90">
        <v>1293124.77</v>
      </c>
      <c r="H93" s="90">
        <v>674594.79</v>
      </c>
      <c r="I93" s="90">
        <v>416365.06</v>
      </c>
      <c r="J93" s="90">
        <v>573365.15</v>
      </c>
      <c r="K93" s="90">
        <v>461021.09</v>
      </c>
    </row>
    <row r="94" spans="3:11" x14ac:dyDescent="0.3">
      <c r="E94" s="11" t="s">
        <v>12</v>
      </c>
      <c r="F94" s="90">
        <v>972886.71</v>
      </c>
      <c r="G94" s="90">
        <v>1614301.91</v>
      </c>
      <c r="H94" s="90">
        <v>1086307.2</v>
      </c>
      <c r="I94" s="90">
        <v>846450.29</v>
      </c>
      <c r="J94" s="90">
        <v>1019520.56</v>
      </c>
      <c r="K94" s="90">
        <v>880147.42</v>
      </c>
    </row>
    <row r="95" spans="3:11" x14ac:dyDescent="0.3">
      <c r="E95" s="11" t="s">
        <v>13</v>
      </c>
      <c r="F95" s="90">
        <v>-128104.07</v>
      </c>
      <c r="G95" s="90">
        <v>-321177.14</v>
      </c>
      <c r="H95" s="90">
        <v>-411712.41</v>
      </c>
      <c r="I95" s="90">
        <v>-430085.23</v>
      </c>
      <c r="J95" s="90">
        <v>-446155.41</v>
      </c>
      <c r="K95" s="90">
        <v>-419126.33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-147994.74</v>
      </c>
      <c r="G97" s="90">
        <v>-46550.9</v>
      </c>
      <c r="H97" s="90">
        <v>-251176.83</v>
      </c>
      <c r="I97" s="90">
        <v>458553.22</v>
      </c>
      <c r="J97" s="90">
        <v>197469.71</v>
      </c>
      <c r="K97" s="90">
        <v>150309.84</v>
      </c>
    </row>
    <row r="98" spans="5:11" x14ac:dyDescent="0.3">
      <c r="E98" s="11" t="s">
        <v>16</v>
      </c>
      <c r="F98" s="90">
        <v>95613.6</v>
      </c>
      <c r="G98" s="90">
        <v>213693.41</v>
      </c>
      <c r="H98" s="90">
        <v>34721.760000000002</v>
      </c>
      <c r="I98" s="90">
        <v>5644.89</v>
      </c>
      <c r="J98" s="90">
        <v>78678.02</v>
      </c>
      <c r="K98" s="90">
        <v>27758.880000000001</v>
      </c>
    </row>
    <row r="99" spans="5:11" x14ac:dyDescent="0.3">
      <c r="E99" s="11" t="s">
        <v>17</v>
      </c>
      <c r="F99" s="90">
        <v>42304.52</v>
      </c>
      <c r="G99" s="90">
        <v>78331.88</v>
      </c>
      <c r="H99" s="90">
        <v>137248.32000000001</v>
      </c>
      <c r="I99" s="90">
        <v>29620.61</v>
      </c>
      <c r="J99" s="90">
        <v>47376.14</v>
      </c>
      <c r="K99" s="90">
        <v>5264.31</v>
      </c>
    </row>
    <row r="100" spans="5:11" x14ac:dyDescent="0.3">
      <c r="E100" s="11" t="s">
        <v>18</v>
      </c>
      <c r="F100" s="90">
        <v>60125.18</v>
      </c>
      <c r="G100" s="107">
        <v>116.78</v>
      </c>
      <c r="H100" s="107">
        <v>41.97</v>
      </c>
      <c r="I100" s="107">
        <v>212.05</v>
      </c>
      <c r="J100" s="107">
        <v>145.47999999999999</v>
      </c>
      <c r="K100" s="107">
        <v>399.11</v>
      </c>
    </row>
    <row r="101" spans="5:11" x14ac:dyDescent="0.3">
      <c r="E101" s="11" t="s">
        <v>19</v>
      </c>
      <c r="F101" s="90">
        <v>27811.82</v>
      </c>
      <c r="G101" s="90">
        <v>18060.689999999999</v>
      </c>
      <c r="H101" s="90">
        <v>6614.21</v>
      </c>
      <c r="I101" s="90">
        <v>5279.02</v>
      </c>
      <c r="J101" s="90">
        <v>3769.67</v>
      </c>
      <c r="K101" s="90">
        <v>8482.1</v>
      </c>
    </row>
    <row r="102" spans="5:11" x14ac:dyDescent="0.3">
      <c r="E102" s="11" t="s">
        <v>20</v>
      </c>
      <c r="F102" s="90">
        <v>-62372.3</v>
      </c>
      <c r="G102" s="90">
        <v>70866.720000000001</v>
      </c>
      <c r="H102" s="90">
        <v>-360275.63</v>
      </c>
      <c r="I102" s="90">
        <v>429510.53</v>
      </c>
      <c r="J102" s="90">
        <v>225147.4</v>
      </c>
      <c r="K102" s="90">
        <v>164721.42000000001</v>
      </c>
    </row>
    <row r="103" spans="5:11" x14ac:dyDescent="0.3">
      <c r="E103" s="11" t="s">
        <v>21</v>
      </c>
      <c r="F103" s="107">
        <v>359</v>
      </c>
      <c r="G103" s="107">
        <v>600</v>
      </c>
      <c r="H103" s="107">
        <v>422</v>
      </c>
      <c r="I103" s="107">
        <v>204</v>
      </c>
      <c r="J103" s="107">
        <v>832</v>
      </c>
      <c r="K103" s="107">
        <v>0</v>
      </c>
    </row>
    <row r="104" spans="5:11" x14ac:dyDescent="0.3">
      <c r="E104" s="11" t="s">
        <v>22</v>
      </c>
      <c r="F104" s="90">
        <v>-62731.3</v>
      </c>
      <c r="G104" s="90">
        <v>70266.720000000001</v>
      </c>
      <c r="H104" s="90">
        <v>-360697.63</v>
      </c>
      <c r="I104" s="90">
        <v>429306.53</v>
      </c>
      <c r="J104" s="90">
        <v>224315.4</v>
      </c>
      <c r="K104" s="90">
        <v>164721.42000000001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727390.5</v>
      </c>
      <c r="G108" s="90">
        <v>904821.03</v>
      </c>
      <c r="H108" s="90">
        <v>682894.74</v>
      </c>
      <c r="I108" s="90">
        <v>751748.66</v>
      </c>
      <c r="J108" s="90">
        <v>399702.94</v>
      </c>
      <c r="K108" s="90">
        <v>237258.37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717590.5</v>
      </c>
      <c r="G110" s="90">
        <v>899821.03</v>
      </c>
      <c r="H110" s="90">
        <v>682894.74</v>
      </c>
      <c r="I110" s="90">
        <v>742748.66</v>
      </c>
      <c r="J110" s="90">
        <v>390702.94</v>
      </c>
      <c r="K110" s="90">
        <v>228229.57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90">
        <v>9000</v>
      </c>
      <c r="J111" s="90">
        <v>9000</v>
      </c>
      <c r="K111" s="90">
        <v>9028.7999999999993</v>
      </c>
    </row>
    <row r="112" spans="5:11" ht="15" customHeight="1" x14ac:dyDescent="0.3">
      <c r="E112" s="8" t="s">
        <v>31</v>
      </c>
      <c r="F112" s="90">
        <v>9800</v>
      </c>
      <c r="G112" s="90">
        <v>5000</v>
      </c>
      <c r="H112" s="107">
        <v>0</v>
      </c>
      <c r="I112" s="107">
        <v>0</v>
      </c>
      <c r="J112" s="107">
        <v>0</v>
      </c>
      <c r="K112" s="107">
        <v>0</v>
      </c>
    </row>
    <row r="113" spans="5:13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3" x14ac:dyDescent="0.3">
      <c r="E114" s="7" t="s">
        <v>33</v>
      </c>
      <c r="F114" s="90">
        <v>61892.59</v>
      </c>
      <c r="G114" s="90">
        <v>301636.26</v>
      </c>
      <c r="H114" s="90">
        <v>261160.87</v>
      </c>
      <c r="I114" s="90">
        <v>379498.01</v>
      </c>
      <c r="J114" s="90">
        <v>184238.32</v>
      </c>
      <c r="K114" s="90">
        <v>294637.69</v>
      </c>
    </row>
    <row r="115" spans="5:13" x14ac:dyDescent="0.3">
      <c r="E115" s="8" t="s">
        <v>34</v>
      </c>
      <c r="F115" s="107">
        <v>0</v>
      </c>
      <c r="G115" s="90">
        <v>20282.95</v>
      </c>
      <c r="H115" s="90">
        <v>21805.25</v>
      </c>
      <c r="I115" s="90">
        <v>17087.28</v>
      </c>
      <c r="J115" s="90">
        <v>9562.5</v>
      </c>
      <c r="K115" s="90">
        <v>8106.09</v>
      </c>
    </row>
    <row r="116" spans="5:13" ht="15" customHeight="1" x14ac:dyDescent="0.3">
      <c r="E116" s="8" t="s">
        <v>35</v>
      </c>
      <c r="F116" s="90">
        <v>23971.56</v>
      </c>
      <c r="G116" s="90">
        <v>82100.53</v>
      </c>
      <c r="H116" s="90">
        <v>65715.58</v>
      </c>
      <c r="I116" s="90">
        <v>62724.2</v>
      </c>
      <c r="J116" s="90">
        <v>31837.88</v>
      </c>
      <c r="K116" s="90">
        <v>47640.6</v>
      </c>
    </row>
    <row r="117" spans="5:13" ht="15" customHeight="1" x14ac:dyDescent="0.3">
      <c r="E117" s="8" t="s">
        <v>36</v>
      </c>
      <c r="F117" s="90">
        <v>34913.58</v>
      </c>
      <c r="G117" s="90">
        <v>195209.84</v>
      </c>
      <c r="H117" s="90">
        <v>167941.9</v>
      </c>
      <c r="I117" s="90">
        <v>296491.48</v>
      </c>
      <c r="J117" s="90">
        <v>142837.94</v>
      </c>
      <c r="K117" s="90">
        <v>236070.08</v>
      </c>
    </row>
    <row r="118" spans="5:13" ht="15" customHeight="1" x14ac:dyDescent="0.3">
      <c r="E118" s="8" t="s">
        <v>37</v>
      </c>
      <c r="F118" s="90">
        <v>3007.45</v>
      </c>
      <c r="G118" s="90">
        <v>4042.94</v>
      </c>
      <c r="H118" s="90">
        <v>5698.14</v>
      </c>
      <c r="I118" s="90">
        <v>3195.05</v>
      </c>
      <c r="J118" s="107">
        <v>0</v>
      </c>
      <c r="K118" s="90">
        <v>2820.92</v>
      </c>
    </row>
    <row r="119" spans="5:13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3" x14ac:dyDescent="0.3">
      <c r="E120" s="7" t="s">
        <v>39</v>
      </c>
      <c r="F120" s="90">
        <v>789283.09</v>
      </c>
      <c r="G120" s="90">
        <v>1206457.29</v>
      </c>
      <c r="H120" s="90">
        <v>944055.61</v>
      </c>
      <c r="I120" s="90">
        <v>1131246.67</v>
      </c>
      <c r="J120" s="90">
        <v>583941.26</v>
      </c>
      <c r="K120" s="90">
        <v>531896.06000000006</v>
      </c>
      <c r="M120" s="90"/>
    </row>
    <row r="121" spans="5:13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3">
      <c r="E122" s="7" t="s">
        <v>41</v>
      </c>
      <c r="F122" s="90">
        <v>193104.84</v>
      </c>
      <c r="G122" s="90">
        <v>255486.14</v>
      </c>
      <c r="H122" s="90">
        <v>185219.42</v>
      </c>
      <c r="I122" s="90">
        <v>548765.05000000005</v>
      </c>
      <c r="J122" s="90">
        <v>555878.27</v>
      </c>
      <c r="K122" s="90">
        <v>331562.87</v>
      </c>
    </row>
    <row r="123" spans="5:13" x14ac:dyDescent="0.3">
      <c r="E123" s="8" t="s">
        <v>42</v>
      </c>
      <c r="F123" s="90">
        <v>179309.09</v>
      </c>
      <c r="G123" s="90">
        <v>179309.09</v>
      </c>
      <c r="H123" s="90">
        <v>179309.09</v>
      </c>
      <c r="I123" s="90">
        <v>179309.09</v>
      </c>
      <c r="J123" s="90">
        <v>179309.09</v>
      </c>
      <c r="K123" s="90">
        <v>179309.09</v>
      </c>
    </row>
    <row r="124" spans="5:13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3" ht="15" customHeight="1" x14ac:dyDescent="0.3">
      <c r="E125" s="8" t="s">
        <v>44</v>
      </c>
      <c r="F125" s="90">
        <v>76527.05</v>
      </c>
      <c r="G125" s="90">
        <v>5910.33</v>
      </c>
      <c r="H125" s="90">
        <v>366607.96</v>
      </c>
      <c r="I125" s="90">
        <v>-59850.57</v>
      </c>
      <c r="J125" s="90">
        <v>152253.78</v>
      </c>
      <c r="K125" s="90">
        <v>-12467.64</v>
      </c>
    </row>
    <row r="126" spans="5:13" x14ac:dyDescent="0.3">
      <c r="E126" s="8" t="s">
        <v>45</v>
      </c>
      <c r="F126" s="90">
        <v>-62731.3</v>
      </c>
      <c r="G126" s="90">
        <v>70266.720000000001</v>
      </c>
      <c r="H126" s="90">
        <v>-360697.63</v>
      </c>
      <c r="I126" s="90">
        <v>429306.53</v>
      </c>
      <c r="J126" s="90">
        <v>224315.4</v>
      </c>
      <c r="K126" s="90">
        <v>164721.42000000001</v>
      </c>
    </row>
    <row r="127" spans="5:13" ht="15" customHeight="1" x14ac:dyDescent="0.3">
      <c r="E127" s="18" t="s">
        <v>91</v>
      </c>
      <c r="F127" s="90">
        <v>596178.25</v>
      </c>
      <c r="G127" s="90">
        <v>950971.15</v>
      </c>
      <c r="H127" s="90">
        <v>758836.19</v>
      </c>
      <c r="I127" s="90">
        <v>582481.62</v>
      </c>
      <c r="J127" s="90">
        <v>28062.99</v>
      </c>
      <c r="K127" s="90">
        <v>200333.19</v>
      </c>
    </row>
    <row r="128" spans="5:13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376810.94</v>
      </c>
      <c r="G129" s="90">
        <v>519401.28</v>
      </c>
      <c r="H129" s="90">
        <v>656215.11</v>
      </c>
      <c r="I129" s="90">
        <v>441835.11</v>
      </c>
      <c r="J129" s="107">
        <v>0</v>
      </c>
      <c r="K129" s="90">
        <v>58370.97</v>
      </c>
    </row>
    <row r="130" spans="5:11" ht="15" customHeight="1" x14ac:dyDescent="0.3">
      <c r="E130" s="17" t="s">
        <v>90</v>
      </c>
      <c r="F130" s="90">
        <v>219367.31</v>
      </c>
      <c r="G130" s="90">
        <v>427069.87</v>
      </c>
      <c r="H130" s="90">
        <v>97571.08</v>
      </c>
      <c r="I130" s="90">
        <v>140646.51</v>
      </c>
      <c r="J130" s="90">
        <v>19438.560000000001</v>
      </c>
      <c r="K130" s="90">
        <v>69964.320000000007</v>
      </c>
    </row>
    <row r="131" spans="5:11" ht="15" customHeight="1" x14ac:dyDescent="0.3">
      <c r="E131" s="17" t="s">
        <v>88</v>
      </c>
      <c r="F131" s="107">
        <v>0</v>
      </c>
      <c r="G131" s="90">
        <v>4500</v>
      </c>
      <c r="H131" s="90">
        <v>5050</v>
      </c>
      <c r="I131" s="107">
        <v>0</v>
      </c>
      <c r="J131" s="90">
        <v>8624.43</v>
      </c>
      <c r="K131" s="90">
        <v>71997.899999999994</v>
      </c>
    </row>
    <row r="132" spans="5:11" x14ac:dyDescent="0.3">
      <c r="E132" s="7" t="s">
        <v>47</v>
      </c>
      <c r="F132" s="90">
        <v>789283.09</v>
      </c>
      <c r="G132" s="90">
        <v>1206457.29</v>
      </c>
      <c r="H132" s="90">
        <v>944055.61</v>
      </c>
      <c r="I132" s="90">
        <v>1131246.67</v>
      </c>
      <c r="J132" s="90">
        <v>583941.26</v>
      </c>
      <c r="K132" s="90">
        <v>531896.06000000006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8FC0-7FDC-4286-9F47-F69CA05CA50D}">
  <sheetPr>
    <tabColor theme="4" tint="0.79998168889431442"/>
  </sheetPr>
  <dimension ref="A1:N295"/>
  <sheetViews>
    <sheetView topLeftCell="A256" workbookViewId="0">
      <selection sqref="A1:L297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6.44140625" style="79" customWidth="1"/>
    <col min="12" max="14" width="16.44140625" style="43" customWidth="1"/>
    <col min="15" max="16384" width="9.109375" style="43"/>
  </cols>
  <sheetData>
    <row r="1" spans="1:11" ht="13.8" x14ac:dyDescent="0.25">
      <c r="E1" s="181" t="s">
        <v>414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0.59974938298501757</v>
      </c>
      <c r="B4" s="139">
        <f>MAX(F4:K4)</f>
        <v>2.305070004023789</v>
      </c>
      <c r="C4" s="155">
        <f>AVERAGE(F4:K4)</f>
        <v>1.3758192215655993</v>
      </c>
      <c r="D4" s="156">
        <f>MEDIAN(F4:K4)</f>
        <v>1.3358180952900855</v>
      </c>
      <c r="E4" s="47" t="s">
        <v>364</v>
      </c>
      <c r="F4" s="71">
        <f>SUM(F9:F12)/SUM(F13:F15)</f>
        <v>0.59974938298501757</v>
      </c>
      <c r="G4" s="71">
        <f t="shared" ref="G4:K4" si="0">SUM(G9:G12)/SUM(G13:G15)</f>
        <v>2.305070004023789</v>
      </c>
      <c r="H4" s="71">
        <f t="shared" si="0"/>
        <v>1.6065751548473139</v>
      </c>
      <c r="I4" s="71">
        <f t="shared" si="0"/>
        <v>1.7000941861078016</v>
      </c>
      <c r="J4" s="71">
        <f t="shared" si="0"/>
        <v>1.0650610357328572</v>
      </c>
      <c r="K4" s="71">
        <f t="shared" si="0"/>
        <v>0.97836556569681798</v>
      </c>
    </row>
    <row r="5" spans="1:11" x14ac:dyDescent="0.25">
      <c r="A5" s="139">
        <f t="shared" ref="A5:A7" si="1">MIN(F5:K5)</f>
        <v>3.2302637794358575</v>
      </c>
      <c r="B5" s="139">
        <f t="shared" ref="B5:B7" si="2">MAX(F5:K5)</f>
        <v>12.181590919172512</v>
      </c>
      <c r="C5" s="155">
        <f t="shared" ref="C5:C7" si="3">AVERAGEIF(F5:K5,"&gt;0")</f>
        <v>7.9960269737568934</v>
      </c>
      <c r="D5" s="156">
        <f t="shared" ref="D5:D7" si="4">_xlfn.AGGREGATE(12,6,F5:K5)</f>
        <v>8.4490271016983414</v>
      </c>
      <c r="E5" s="47" t="s">
        <v>363</v>
      </c>
      <c r="F5" s="71">
        <f t="shared" ref="F5:K5" si="5">SUM(F9:F12)/F14</f>
        <v>8.371494097433267</v>
      </c>
      <c r="G5" s="71">
        <f t="shared" si="5"/>
        <v>12.181590919172512</v>
      </c>
      <c r="H5" s="71">
        <f t="shared" si="5"/>
        <v>8.5265601059634157</v>
      </c>
      <c r="I5" s="71">
        <f t="shared" si="5"/>
        <v>7.0310101838074717</v>
      </c>
      <c r="J5" s="71">
        <f t="shared" si="5"/>
        <v>8.6352427567288341</v>
      </c>
      <c r="K5" s="71">
        <f t="shared" si="5"/>
        <v>3.2302637794358575</v>
      </c>
    </row>
    <row r="6" spans="1:11" x14ac:dyDescent="0.25">
      <c r="A6" s="139">
        <f t="shared" si="1"/>
        <v>3.1158358345001513</v>
      </c>
      <c r="B6" s="139">
        <f t="shared" si="2"/>
        <v>12.082197330472827</v>
      </c>
      <c r="C6" s="155">
        <f t="shared" si="3"/>
        <v>7.8261653748867497</v>
      </c>
      <c r="D6" s="156">
        <f t="shared" si="4"/>
        <v>8.1536562130615469</v>
      </c>
      <c r="E6" s="47" t="s">
        <v>365</v>
      </c>
      <c r="F6" s="71">
        <f t="shared" ref="F6:K6" si="6">SUM(F10:F11)/F14</f>
        <v>7.9318755451522449</v>
      </c>
      <c r="G6" s="71">
        <f t="shared" si="6"/>
        <v>12.082197330472827</v>
      </c>
      <c r="H6" s="71">
        <f t="shared" si="6"/>
        <v>8.3754368809708488</v>
      </c>
      <c r="I6" s="71">
        <f t="shared" si="6"/>
        <v>6.891814216002583</v>
      </c>
      <c r="J6" s="71">
        <f t="shared" si="6"/>
        <v>8.5598324422218468</v>
      </c>
      <c r="K6" s="71">
        <f t="shared" si="6"/>
        <v>3.1158358345001513</v>
      </c>
    </row>
    <row r="7" spans="1:11" ht="13.8" thickBot="1" x14ac:dyDescent="0.3">
      <c r="A7" s="139">
        <f t="shared" si="1"/>
        <v>2.4007061518489721</v>
      </c>
      <c r="B7" s="139">
        <f t="shared" si="2"/>
        <v>10.439813984194373</v>
      </c>
      <c r="C7" s="155">
        <f t="shared" si="3"/>
        <v>6.5233569660796293</v>
      </c>
      <c r="D7" s="156">
        <f t="shared" si="4"/>
        <v>6.5567582952167109</v>
      </c>
      <c r="E7" s="49" t="s">
        <v>366</v>
      </c>
      <c r="F7" s="73">
        <f t="shared" ref="F7:K7" si="7">F11/F14</f>
        <v>6.6050733817442433</v>
      </c>
      <c r="G7" s="73">
        <f t="shared" si="7"/>
        <v>10.439813984194373</v>
      </c>
      <c r="H7" s="73">
        <f t="shared" si="7"/>
        <v>7.1745749950480198</v>
      </c>
      <c r="I7" s="73">
        <f t="shared" si="7"/>
        <v>6.0115300749529919</v>
      </c>
      <c r="J7" s="73">
        <f t="shared" si="7"/>
        <v>6.5084432086891786</v>
      </c>
      <c r="K7" s="73">
        <f t="shared" si="7"/>
        <v>2.4007061518489721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31058.63</v>
      </c>
      <c r="G9" s="76">
        <f t="shared" ref="G9:K9" si="8">G127</f>
        <v>0</v>
      </c>
      <c r="H9" s="76">
        <f t="shared" si="8"/>
        <v>42536.06</v>
      </c>
      <c r="I9" s="76">
        <f t="shared" si="8"/>
        <v>26161.37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330756.07</v>
      </c>
      <c r="G10" s="76">
        <f t="shared" ref="G10:K10" si="9">G133</f>
        <v>406902.1</v>
      </c>
      <c r="H10" s="76">
        <f t="shared" si="9"/>
        <v>522469.14</v>
      </c>
      <c r="I10" s="76">
        <f t="shared" si="9"/>
        <v>288572.52</v>
      </c>
      <c r="J10" s="76">
        <f t="shared" si="9"/>
        <v>343574.3</v>
      </c>
      <c r="K10" s="76">
        <f t="shared" si="9"/>
        <v>169785.51</v>
      </c>
    </row>
    <row r="11" spans="1:11" x14ac:dyDescent="0.25">
      <c r="E11" s="43" t="s">
        <v>287</v>
      </c>
      <c r="F11" s="76">
        <f>F151</f>
        <v>1646566.59</v>
      </c>
      <c r="G11" s="76">
        <f t="shared" ref="G11:K11" si="10">G151</f>
        <v>2586474.25</v>
      </c>
      <c r="H11" s="76">
        <f t="shared" si="10"/>
        <v>3121503.04</v>
      </c>
      <c r="I11" s="76">
        <f t="shared" si="10"/>
        <v>1970684.58</v>
      </c>
      <c r="J11" s="76">
        <f t="shared" si="10"/>
        <v>1090058.28</v>
      </c>
      <c r="K11" s="76">
        <f t="shared" si="10"/>
        <v>569973.71</v>
      </c>
    </row>
    <row r="12" spans="1:11" x14ac:dyDescent="0.25">
      <c r="E12" s="43" t="s">
        <v>290</v>
      </c>
      <c r="F12" s="76">
        <f>F168</f>
        <v>78533.070000000007</v>
      </c>
      <c r="G12" s="76">
        <f t="shared" ref="G12:K12" si="11">G168</f>
        <v>24624.86</v>
      </c>
      <c r="H12" s="76">
        <f t="shared" si="11"/>
        <v>23214.400000000001</v>
      </c>
      <c r="I12" s="76">
        <f t="shared" si="11"/>
        <v>19469.5</v>
      </c>
      <c r="J12" s="76">
        <f t="shared" si="11"/>
        <v>12630</v>
      </c>
      <c r="K12" s="76">
        <f t="shared" si="11"/>
        <v>27167.39</v>
      </c>
    </row>
    <row r="13" spans="1:11" x14ac:dyDescent="0.25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F211</f>
        <v>249288.16</v>
      </c>
      <c r="G14" s="76">
        <f t="shared" ref="G14:K14" si="13">G211</f>
        <v>247750.99</v>
      </c>
      <c r="H14" s="76">
        <f t="shared" si="13"/>
        <v>435078.46</v>
      </c>
      <c r="I14" s="76">
        <f t="shared" si="13"/>
        <v>327817.46999999997</v>
      </c>
      <c r="J14" s="76">
        <f t="shared" si="13"/>
        <v>167483.72</v>
      </c>
      <c r="K14" s="76">
        <f t="shared" si="13"/>
        <v>237419.19</v>
      </c>
    </row>
    <row r="15" spans="1:11" x14ac:dyDescent="0.25">
      <c r="E15" s="43" t="s">
        <v>362</v>
      </c>
      <c r="F15" s="76">
        <f>F235</f>
        <v>3230355.87</v>
      </c>
      <c r="G15" s="76">
        <f t="shared" ref="G15:K15" si="14">G235</f>
        <v>1061537.32</v>
      </c>
      <c r="H15" s="76">
        <f t="shared" si="14"/>
        <v>1874009.06</v>
      </c>
      <c r="I15" s="76">
        <f t="shared" si="14"/>
        <v>1027923.87</v>
      </c>
      <c r="J15" s="76">
        <f t="shared" si="14"/>
        <v>1190431.49</v>
      </c>
      <c r="K15" s="76">
        <f t="shared" si="14"/>
        <v>546466.34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20.624905348927719</v>
      </c>
      <c r="B19" s="152">
        <f t="shared" ref="B19:B25" si="16">MAX(F19:K19)</f>
        <v>46.426572121841659</v>
      </c>
      <c r="C19" s="156">
        <f>AVERAGE(F19:K19)</f>
        <v>32.340554869807406</v>
      </c>
      <c r="D19" s="156">
        <f>MEDIAN(F19:K19)</f>
        <v>30.250332592867061</v>
      </c>
      <c r="E19" s="47" t="s">
        <v>293</v>
      </c>
      <c r="F19" s="71">
        <f>F28/(F27/365)</f>
        <v>20.624905348927719</v>
      </c>
      <c r="G19" s="71">
        <f t="shared" ref="G19:K19" si="17">G28/(G27/365)</f>
        <v>27.746534147553781</v>
      </c>
      <c r="H19" s="71">
        <f t="shared" si="17"/>
        <v>46.426572121841659</v>
      </c>
      <c r="I19" s="71">
        <f t="shared" si="17"/>
        <v>32.75413103818034</v>
      </c>
      <c r="J19" s="71">
        <f t="shared" si="17"/>
        <v>41.599365530210989</v>
      </c>
      <c r="K19" s="71">
        <f t="shared" si="17"/>
        <v>24.891821032129958</v>
      </c>
    </row>
    <row r="20" spans="1:11" x14ac:dyDescent="0.25">
      <c r="A20" s="152">
        <f t="shared" si="15"/>
        <v>0</v>
      </c>
      <c r="B20" s="152">
        <f t="shared" si="16"/>
        <v>3.7797513885106859</v>
      </c>
      <c r="C20" s="156">
        <f t="shared" ref="C20:C25" si="18">AVERAGE(F20:K20)</f>
        <v>1.4476482253757623</v>
      </c>
      <c r="D20" s="156">
        <f t="shared" ref="D20:D25" si="19">MEDIAN(F20:K20)</f>
        <v>0.96835910527260605</v>
      </c>
      <c r="E20" s="121" t="s">
        <v>367</v>
      </c>
      <c r="F20" s="71">
        <f>F29/(F27/365)</f>
        <v>1.9367182105452121</v>
      </c>
      <c r="G20" s="71">
        <f t="shared" ref="G20:K20" si="20">G29/(G27/365)</f>
        <v>0</v>
      </c>
      <c r="H20" s="71">
        <f t="shared" si="20"/>
        <v>3.7797513885106859</v>
      </c>
      <c r="I20" s="71">
        <f t="shared" si="20"/>
        <v>2.9694197531986757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15.544823424127481</v>
      </c>
      <c r="B21" s="152">
        <f t="shared" si="16"/>
        <v>38.661042261462185</v>
      </c>
      <c r="C21" s="156">
        <f t="shared" si="18"/>
        <v>27.232429251015201</v>
      </c>
      <c r="D21" s="156">
        <f t="shared" si="19"/>
        <v>27.543026823130035</v>
      </c>
      <c r="E21" s="47" t="s">
        <v>368</v>
      </c>
      <c r="F21" s="71">
        <f>F30/(F27/365)</f>
        <v>15.544823424127481</v>
      </c>
      <c r="G21" s="71">
        <f t="shared" ref="G21:K21" si="21">G30/(G27/365)</f>
        <v>16.894066912225952</v>
      </c>
      <c r="H21" s="71">
        <f t="shared" si="21"/>
        <v>38.661042261462185</v>
      </c>
      <c r="I21" s="71">
        <f t="shared" si="21"/>
        <v>37.208589262015494</v>
      </c>
      <c r="J21" s="71">
        <f t="shared" si="21"/>
        <v>20.278631110183472</v>
      </c>
      <c r="K21" s="71">
        <f t="shared" si="21"/>
        <v>34.807422536076601</v>
      </c>
    </row>
    <row r="22" spans="1:11" x14ac:dyDescent="0.25">
      <c r="A22" s="152">
        <f t="shared" si="15"/>
        <v>-9.9156015039466432</v>
      </c>
      <c r="B22" s="152">
        <f t="shared" si="16"/>
        <v>21.320734420027517</v>
      </c>
      <c r="C22" s="156">
        <f t="shared" si="18"/>
        <v>6.5557738441679732</v>
      </c>
      <c r="D22" s="156">
        <f t="shared" si="19"/>
        <v>8.9346336853366388</v>
      </c>
      <c r="E22" s="47" t="s">
        <v>294</v>
      </c>
      <c r="F22" s="71">
        <f>F19+F20-F21</f>
        <v>7.0168001353454503</v>
      </c>
      <c r="G22" s="71">
        <f t="shared" ref="G22:K22" si="22">G19+G20-G21</f>
        <v>10.852467235327829</v>
      </c>
      <c r="H22" s="71">
        <f t="shared" si="22"/>
        <v>11.545281248890163</v>
      </c>
      <c r="I22" s="71">
        <f t="shared" si="22"/>
        <v>-1.485038470636475</v>
      </c>
      <c r="J22" s="71">
        <f t="shared" si="22"/>
        <v>21.320734420027517</v>
      </c>
      <c r="K22" s="71">
        <f t="shared" si="22"/>
        <v>-9.9156015039466432</v>
      </c>
    </row>
    <row r="23" spans="1:11" x14ac:dyDescent="0.25">
      <c r="A23" s="152">
        <f t="shared" si="15"/>
        <v>0.5870222573684114</v>
      </c>
      <c r="B23" s="152">
        <f t="shared" si="16"/>
        <v>1.6112923511513908</v>
      </c>
      <c r="C23" s="156">
        <f t="shared" si="18"/>
        <v>0.87623960596630557</v>
      </c>
      <c r="D23" s="156">
        <f t="shared" si="19"/>
        <v>0.75710587583181699</v>
      </c>
      <c r="E23" s="47" t="s">
        <v>295</v>
      </c>
      <c r="F23" s="71">
        <f>F27/F31</f>
        <v>0.5870222573684114</v>
      </c>
      <c r="G23" s="71">
        <f t="shared" ref="G23:K23" si="23">G27/G31</f>
        <v>0.74244294306688308</v>
      </c>
      <c r="H23" s="71">
        <f t="shared" si="23"/>
        <v>0.64426347863254141</v>
      </c>
      <c r="I23" s="71">
        <f t="shared" si="23"/>
        <v>0.77176880859675101</v>
      </c>
      <c r="J23" s="71">
        <f t="shared" si="23"/>
        <v>0.90064779698185515</v>
      </c>
      <c r="K23" s="71">
        <f t="shared" si="23"/>
        <v>1.6112923511513908</v>
      </c>
    </row>
    <row r="24" spans="1:11" x14ac:dyDescent="0.25">
      <c r="A24" s="152">
        <f t="shared" si="15"/>
        <v>0.74239983160960299</v>
      </c>
      <c r="B24" s="152">
        <f t="shared" si="16"/>
        <v>3.1992543353343201</v>
      </c>
      <c r="C24" s="156">
        <f t="shared" si="18"/>
        <v>1.6787569656663159</v>
      </c>
      <c r="D24" s="156">
        <f t="shared" si="19"/>
        <v>1.5633419193998745</v>
      </c>
      <c r="E24" s="121" t="s">
        <v>369</v>
      </c>
      <c r="F24" s="71">
        <f>F27/F32</f>
        <v>0.74239983160960299</v>
      </c>
      <c r="G24" s="71">
        <f t="shared" ref="G24:K24" si="24">G27/G32</f>
        <v>1.2770111574650862</v>
      </c>
      <c r="H24" s="71">
        <f t="shared" si="24"/>
        <v>1.5407819734199486</v>
      </c>
      <c r="I24" s="71">
        <f t="shared" si="24"/>
        <v>1.7271926307891377</v>
      </c>
      <c r="J24" s="71">
        <f t="shared" si="24"/>
        <v>1.5859018653798005</v>
      </c>
      <c r="K24" s="71">
        <f t="shared" si="24"/>
        <v>3.1992543353343201</v>
      </c>
    </row>
    <row r="25" spans="1:11" ht="13.8" thickBot="1" x14ac:dyDescent="0.3">
      <c r="A25" s="152">
        <f t="shared" si="15"/>
        <v>1.1072493872479912</v>
      </c>
      <c r="B25" s="152">
        <f t="shared" si="16"/>
        <v>3.2462578394561117</v>
      </c>
      <c r="C25" s="156">
        <f t="shared" si="18"/>
        <v>2.0685826605456019</v>
      </c>
      <c r="D25" s="156">
        <f t="shared" si="19"/>
        <v>1.928994556938572</v>
      </c>
      <c r="E25" s="49" t="s">
        <v>296</v>
      </c>
      <c r="F25" s="73">
        <f>F27/F33</f>
        <v>2.8048141898836709</v>
      </c>
      <c r="G25" s="73">
        <f t="shared" ref="G25:K25" si="25">G27/G33</f>
        <v>1.7735957667160775</v>
      </c>
      <c r="H25" s="73">
        <f t="shared" si="25"/>
        <v>1.1072493872479912</v>
      </c>
      <c r="I25" s="73">
        <f t="shared" si="25"/>
        <v>1.395185432808693</v>
      </c>
      <c r="J25" s="73">
        <f t="shared" si="25"/>
        <v>2.0843933471610665</v>
      </c>
      <c r="K25" s="73">
        <f t="shared" si="25"/>
        <v>3.2462578394561117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F241</f>
        <v>5853407.0099999998</v>
      </c>
      <c r="G27" s="76">
        <f t="shared" ref="G27:K27" si="26">G241</f>
        <v>5352714.17</v>
      </c>
      <c r="H27" s="76">
        <f t="shared" si="26"/>
        <v>4107588.12</v>
      </c>
      <c r="I27" s="76">
        <f t="shared" si="26"/>
        <v>3215746.12</v>
      </c>
      <c r="J27" s="76">
        <f t="shared" si="26"/>
        <v>3014580.1</v>
      </c>
      <c r="K27" s="76">
        <f t="shared" si="26"/>
        <v>2489641.52</v>
      </c>
    </row>
    <row r="28" spans="1:11" x14ac:dyDescent="0.25">
      <c r="E28" s="43" t="s">
        <v>305</v>
      </c>
      <c r="F28" s="76">
        <f>F133</f>
        <v>330756.07</v>
      </c>
      <c r="G28" s="76">
        <f t="shared" ref="G28:K28" si="27">G133</f>
        <v>406902.1</v>
      </c>
      <c r="H28" s="76">
        <f t="shared" si="27"/>
        <v>522469.14</v>
      </c>
      <c r="I28" s="76">
        <f t="shared" si="27"/>
        <v>288572.52</v>
      </c>
      <c r="J28" s="76">
        <f t="shared" si="27"/>
        <v>343574.3</v>
      </c>
      <c r="K28" s="76">
        <f t="shared" si="27"/>
        <v>169785.51</v>
      </c>
    </row>
    <row r="29" spans="1:11" x14ac:dyDescent="0.25">
      <c r="E29" s="43" t="s">
        <v>306</v>
      </c>
      <c r="F29" s="76">
        <f>F127</f>
        <v>31058.63</v>
      </c>
      <c r="G29" s="76">
        <f t="shared" ref="G29:K29" si="28">G127</f>
        <v>0</v>
      </c>
      <c r="H29" s="76">
        <f t="shared" si="28"/>
        <v>42536.06</v>
      </c>
      <c r="I29" s="76">
        <f t="shared" si="28"/>
        <v>26161.37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F211</f>
        <v>249288.16</v>
      </c>
      <c r="G30" s="76">
        <f t="shared" ref="G30:K30" si="29">G211</f>
        <v>247750.99</v>
      </c>
      <c r="H30" s="76">
        <f t="shared" si="29"/>
        <v>435078.46</v>
      </c>
      <c r="I30" s="76">
        <f t="shared" si="29"/>
        <v>327817.46999999997</v>
      </c>
      <c r="J30" s="76">
        <f t="shared" si="29"/>
        <v>167483.72</v>
      </c>
      <c r="K30" s="76">
        <f t="shared" si="29"/>
        <v>237419.19</v>
      </c>
    </row>
    <row r="31" spans="1:11" x14ac:dyDescent="0.25">
      <c r="E31" s="43" t="s">
        <v>303</v>
      </c>
      <c r="F31" s="76">
        <f>F171</f>
        <v>9971354.4700000007</v>
      </c>
      <c r="G31" s="76">
        <f t="shared" ref="G31:K31" si="30">G171</f>
        <v>7209596.6699999999</v>
      </c>
      <c r="H31" s="76">
        <f t="shared" si="30"/>
        <v>6375633.9699999997</v>
      </c>
      <c r="I31" s="76">
        <f t="shared" si="30"/>
        <v>4166722.06</v>
      </c>
      <c r="J31" s="76">
        <f t="shared" si="30"/>
        <v>3347124.27</v>
      </c>
      <c r="K31" s="76">
        <f t="shared" si="30"/>
        <v>1545120.92</v>
      </c>
    </row>
    <row r="32" spans="1:11" x14ac:dyDescent="0.25">
      <c r="E32" s="43" t="s">
        <v>308</v>
      </c>
      <c r="F32" s="76">
        <f>F84</f>
        <v>7884440.1100000003</v>
      </c>
      <c r="G32" s="76">
        <f t="shared" ref="G32:K32" si="31">G84</f>
        <v>4191595.46</v>
      </c>
      <c r="H32" s="76">
        <f t="shared" si="31"/>
        <v>2665911.33</v>
      </c>
      <c r="I32" s="76">
        <f t="shared" si="31"/>
        <v>1861834.09</v>
      </c>
      <c r="J32" s="76">
        <f t="shared" si="31"/>
        <v>1900861.69</v>
      </c>
      <c r="K32" s="76">
        <f t="shared" si="31"/>
        <v>778194.31</v>
      </c>
    </row>
    <row r="33" spans="1:11" x14ac:dyDescent="0.25">
      <c r="E33" s="43" t="s">
        <v>309</v>
      </c>
      <c r="F33" s="76">
        <f>F126</f>
        <v>2086914.36</v>
      </c>
      <c r="G33" s="76">
        <f t="shared" ref="G33:K33" si="32">G126</f>
        <v>3018001.21</v>
      </c>
      <c r="H33" s="76">
        <f t="shared" si="32"/>
        <v>3709722.64</v>
      </c>
      <c r="I33" s="76">
        <f t="shared" si="32"/>
        <v>2304887.9700000002</v>
      </c>
      <c r="J33" s="76">
        <f t="shared" si="32"/>
        <v>1446262.58</v>
      </c>
      <c r="K33" s="76">
        <f t="shared" si="32"/>
        <v>766926.61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0.10640897916048107</v>
      </c>
      <c r="B37" s="139">
        <f t="shared" ref="B37:B41" si="34">MAX(F37:K37)</f>
        <v>0.27411104159571581</v>
      </c>
      <c r="C37" s="160">
        <f t="shared" ref="C37:C41" si="35">AVERAGE(F37:K37)</f>
        <v>0.19708440323239926</v>
      </c>
      <c r="D37" s="160">
        <f t="shared" ref="D37:D41" si="36">MEDIAN(F37:K37)</f>
        <v>0.18614401495568667</v>
      </c>
      <c r="E37" s="126" t="s">
        <v>370</v>
      </c>
      <c r="F37" s="131">
        <f>F43/F44*100%</f>
        <v>0.10640897916048107</v>
      </c>
      <c r="G37" s="124">
        <f t="shared" ref="G37:K37" si="37">G43/G44*100%</f>
        <v>0.21086233385646522</v>
      </c>
      <c r="H37" s="124">
        <f t="shared" si="37"/>
        <v>0.16080613548773098</v>
      </c>
      <c r="I37" s="124">
        <f t="shared" si="37"/>
        <v>0.26889223323909439</v>
      </c>
      <c r="J37" s="124">
        <f t="shared" si="37"/>
        <v>0.27411104159571581</v>
      </c>
      <c r="K37" s="132">
        <f t="shared" si="37"/>
        <v>0.16142569605490811</v>
      </c>
    </row>
    <row r="38" spans="1:11" x14ac:dyDescent="0.25">
      <c r="A38" s="139">
        <f t="shared" si="33"/>
        <v>0.18680452322794452</v>
      </c>
      <c r="B38" s="139">
        <f t="shared" si="34"/>
        <v>0.7403784798022699</v>
      </c>
      <c r="C38" s="155">
        <f t="shared" si="35"/>
        <v>0.40643229634839301</v>
      </c>
      <c r="D38" s="156">
        <f t="shared" si="36"/>
        <v>0.33070089822322146</v>
      </c>
      <c r="E38" s="127" t="s">
        <v>298</v>
      </c>
      <c r="F38" s="133">
        <f>F43/F45</f>
        <v>0.18680452322794452</v>
      </c>
      <c r="G38" s="122">
        <f t="shared" ref="G38:K38" si="38">G43/G45</f>
        <v>0.32849810285798131</v>
      </c>
      <c r="H38" s="122">
        <f t="shared" si="38"/>
        <v>0.29491595411709209</v>
      </c>
      <c r="I38" s="122">
        <f t="shared" si="38"/>
        <v>0.55509302449660858</v>
      </c>
      <c r="J38" s="122">
        <f t="shared" si="38"/>
        <v>0.7403784798022699</v>
      </c>
      <c r="K38" s="134">
        <f t="shared" si="38"/>
        <v>0.33290369358846167</v>
      </c>
    </row>
    <row r="39" spans="1:11" x14ac:dyDescent="0.25">
      <c r="A39" s="139">
        <f t="shared" si="33"/>
        <v>1.5578794792321287</v>
      </c>
      <c r="B39" s="139">
        <f t="shared" si="34"/>
        <v>2.7010166226512253</v>
      </c>
      <c r="C39" s="155">
        <f t="shared" si="35"/>
        <v>1.995842649521854</v>
      </c>
      <c r="D39" s="156">
        <f t="shared" si="36"/>
        <v>1.9481282333947831</v>
      </c>
      <c r="E39" s="127" t="s">
        <v>299</v>
      </c>
      <c r="F39" s="133">
        <f>F44/F45</f>
        <v>1.7555334587527112</v>
      </c>
      <c r="G39" s="122">
        <f t="shared" ref="G39:K39" si="39">G44/G45</f>
        <v>1.5578794792321287</v>
      </c>
      <c r="H39" s="122">
        <f t="shared" si="39"/>
        <v>1.8339844634820748</v>
      </c>
      <c r="I39" s="122">
        <f t="shared" si="39"/>
        <v>2.0643698697054935</v>
      </c>
      <c r="J39" s="122">
        <f t="shared" si="39"/>
        <v>2.7010166226512253</v>
      </c>
      <c r="K39" s="134">
        <f t="shared" si="39"/>
        <v>2.0622720033074917</v>
      </c>
    </row>
    <row r="40" spans="1:11" x14ac:dyDescent="0.25">
      <c r="A40" s="139">
        <f t="shared" si="33"/>
        <v>7.7683434640183381E-3</v>
      </c>
      <c r="B40" s="139">
        <f t="shared" si="34"/>
        <v>0.22407294725271734</v>
      </c>
      <c r="C40" s="160">
        <f t="shared" si="35"/>
        <v>0.128755087065451</v>
      </c>
      <c r="D40" s="160">
        <f t="shared" si="36"/>
        <v>0.13453179859865808</v>
      </c>
      <c r="E40" s="128" t="s">
        <v>371</v>
      </c>
      <c r="F40" s="131">
        <f>F46/F44*100%</f>
        <v>8.1408548100687456E-2</v>
      </c>
      <c r="G40" s="124">
        <f t="shared" ref="G40:K40" si="40">G46/G44*100%</f>
        <v>0.17649827698336415</v>
      </c>
      <c r="H40" s="124">
        <f t="shared" si="40"/>
        <v>9.2565320213951988E-2</v>
      </c>
      <c r="I40" s="124">
        <f t="shared" si="40"/>
        <v>0.19021708637796686</v>
      </c>
      <c r="J40" s="124">
        <f t="shared" si="40"/>
        <v>0.22407294725271734</v>
      </c>
      <c r="K40" s="132">
        <f t="shared" si="40"/>
        <v>7.7683434640183381E-3</v>
      </c>
    </row>
    <row r="41" spans="1:11" ht="13.8" thickBot="1" x14ac:dyDescent="0.3">
      <c r="A41" s="139">
        <f t="shared" si="33"/>
        <v>510.89829341700823</v>
      </c>
      <c r="B41" s="139">
        <f t="shared" si="34"/>
        <v>89021.515088449538</v>
      </c>
      <c r="C41" s="155">
        <f t="shared" si="35"/>
        <v>44766.206690933272</v>
      </c>
      <c r="D41" s="156">
        <f t="shared" si="36"/>
        <v>44766.206690933272</v>
      </c>
      <c r="E41" s="129" t="s">
        <v>300</v>
      </c>
      <c r="F41" s="172"/>
      <c r="G41" s="171"/>
      <c r="H41" s="171"/>
      <c r="I41" s="123">
        <f t="shared" ref="I41:K41" si="41">(I47+I48)/I48</f>
        <v>89021.515088449538</v>
      </c>
      <c r="J41" s="171"/>
      <c r="K41" s="136">
        <f t="shared" si="41"/>
        <v>510.89829341700823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F202+F211</f>
        <v>1061041.6499999999</v>
      </c>
      <c r="G43" s="76">
        <f t="shared" ref="G43:K43" si="42">G202+G211</f>
        <v>1520232.38</v>
      </c>
      <c r="H43" s="76">
        <f t="shared" si="42"/>
        <v>1025241.06</v>
      </c>
      <c r="I43" s="76">
        <f t="shared" si="42"/>
        <v>1120399.2</v>
      </c>
      <c r="J43" s="76">
        <f t="shared" si="42"/>
        <v>917483.72</v>
      </c>
      <c r="K43" s="76">
        <f t="shared" si="42"/>
        <v>249422.22</v>
      </c>
    </row>
    <row r="44" spans="1:11" x14ac:dyDescent="0.25">
      <c r="E44" s="43" t="s">
        <v>303</v>
      </c>
      <c r="F44" s="76">
        <f>F171</f>
        <v>9971354.4700000007</v>
      </c>
      <c r="G44" s="76">
        <f t="shared" ref="G44:K44" si="43">G171</f>
        <v>7209596.6699999999</v>
      </c>
      <c r="H44" s="76">
        <f t="shared" si="43"/>
        <v>6375633.9699999997</v>
      </c>
      <c r="I44" s="76">
        <f t="shared" si="43"/>
        <v>4166722.06</v>
      </c>
      <c r="J44" s="76">
        <f t="shared" si="43"/>
        <v>3347124.27</v>
      </c>
      <c r="K44" s="76">
        <f t="shared" si="43"/>
        <v>1545120.92</v>
      </c>
    </row>
    <row r="45" spans="1:11" x14ac:dyDescent="0.25">
      <c r="E45" s="43" t="s">
        <v>311</v>
      </c>
      <c r="F45" s="76">
        <f>F172</f>
        <v>5679956.9500000002</v>
      </c>
      <c r="G45" s="76">
        <f t="shared" ref="G45:K45" si="44">G172</f>
        <v>4627826.97</v>
      </c>
      <c r="H45" s="76">
        <f t="shared" si="44"/>
        <v>3476383.85</v>
      </c>
      <c r="I45" s="76">
        <f t="shared" si="44"/>
        <v>2018398.99</v>
      </c>
      <c r="J45" s="76">
        <f t="shared" si="44"/>
        <v>1239209.06</v>
      </c>
      <c r="K45" s="76">
        <f t="shared" si="44"/>
        <v>749232.36</v>
      </c>
    </row>
    <row r="46" spans="1:11" x14ac:dyDescent="0.25">
      <c r="E46" s="43" t="s">
        <v>312</v>
      </c>
      <c r="F46" s="76">
        <f>F202</f>
        <v>811753.49</v>
      </c>
      <c r="G46" s="76">
        <f t="shared" ref="G46:K46" si="45">G202</f>
        <v>1272481.3899999999</v>
      </c>
      <c r="H46" s="76">
        <f t="shared" si="45"/>
        <v>590162.6</v>
      </c>
      <c r="I46" s="76">
        <f t="shared" si="45"/>
        <v>792581.73</v>
      </c>
      <c r="J46" s="76">
        <f t="shared" si="45"/>
        <v>750000</v>
      </c>
      <c r="K46" s="76">
        <f t="shared" si="45"/>
        <v>12003.03</v>
      </c>
    </row>
    <row r="47" spans="1:11" x14ac:dyDescent="0.25">
      <c r="E47" s="43" t="s">
        <v>313</v>
      </c>
      <c r="F47" s="76">
        <f>F292</f>
        <v>1331472.51</v>
      </c>
      <c r="G47" s="76">
        <f t="shared" ref="G47:K47" si="46">G292</f>
        <v>1559088.73</v>
      </c>
      <c r="H47" s="76">
        <f t="shared" si="46"/>
        <v>1640081.55</v>
      </c>
      <c r="I47" s="76">
        <f t="shared" si="46"/>
        <v>855487.15</v>
      </c>
      <c r="J47" s="76">
        <f t="shared" si="46"/>
        <v>563310.15</v>
      </c>
      <c r="K47" s="76">
        <f t="shared" si="46"/>
        <v>318502.87</v>
      </c>
    </row>
    <row r="48" spans="1:11" x14ac:dyDescent="0.25">
      <c r="E48" s="43" t="s">
        <v>314</v>
      </c>
      <c r="F48" s="76">
        <f>F282</f>
        <v>0</v>
      </c>
      <c r="G48" s="76">
        <f t="shared" ref="G48:K48" si="47">G282</f>
        <v>0</v>
      </c>
      <c r="H48" s="76">
        <f t="shared" si="47"/>
        <v>0</v>
      </c>
      <c r="I48" s="76">
        <f t="shared" si="47"/>
        <v>9.61</v>
      </c>
      <c r="J48" s="76">
        <f t="shared" si="47"/>
        <v>0</v>
      </c>
      <c r="K48" s="76">
        <f t="shared" si="47"/>
        <v>624.64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6.1438957984841343E-2</v>
      </c>
      <c r="B52" s="139">
        <f t="shared" ref="B52:B63" si="49">MAX(F52:K52)</f>
        <v>0.1733376225537174</v>
      </c>
      <c r="C52" s="160">
        <f t="shared" ref="C52:C63" si="50">AVERAGE(F52:K52)</f>
        <v>0.12186151516265285</v>
      </c>
      <c r="D52" s="160">
        <f t="shared" ref="D52:D63" si="51">MEDIAN(F52:K52)</f>
        <v>0.12925595444339971</v>
      </c>
      <c r="E52" s="50" t="s">
        <v>350</v>
      </c>
      <c r="F52" s="119">
        <f t="shared" ref="F52:K52" si="52">(F65/(F70+F71))*100%</f>
        <v>0.13926760850516984</v>
      </c>
      <c r="G52" s="119">
        <f t="shared" si="52"/>
        <v>0.15494548822451368</v>
      </c>
      <c r="H52" s="119">
        <f t="shared" si="52"/>
        <v>0.1733376225537174</v>
      </c>
      <c r="I52" s="119">
        <f t="shared" si="52"/>
        <v>0.1192443003816296</v>
      </c>
      <c r="J52" s="119">
        <f t="shared" si="52"/>
        <v>8.2935113326045223E-2</v>
      </c>
      <c r="K52" s="120">
        <f t="shared" si="52"/>
        <v>6.1438957984841343E-2</v>
      </c>
    </row>
    <row r="53" spans="1:11" x14ac:dyDescent="0.25">
      <c r="A53" s="139">
        <f t="shared" si="48"/>
        <v>-1.0593410438820319</v>
      </c>
      <c r="B53" s="139">
        <f t="shared" si="49"/>
        <v>-0.38945473227907318</v>
      </c>
      <c r="C53" s="160">
        <f t="shared" si="50"/>
        <v>-0.80301597374768241</v>
      </c>
      <c r="D53" s="160">
        <f t="shared" si="51"/>
        <v>-0.91876196289138234</v>
      </c>
      <c r="E53" s="50" t="s">
        <v>351</v>
      </c>
      <c r="F53" s="119">
        <f>(F66/F70)*100%</f>
        <v>-0.38945473227907318</v>
      </c>
      <c r="G53" s="119">
        <f t="shared" ref="G53:K53" si="53">(G66/G70)*100%</f>
        <v>-0.57948102056045336</v>
      </c>
      <c r="H53" s="119">
        <f t="shared" si="53"/>
        <v>-0.89950533307122327</v>
      </c>
      <c r="I53" s="119">
        <f t="shared" si="53"/>
        <v>-0.93801859271154153</v>
      </c>
      <c r="J53" s="119">
        <f t="shared" si="53"/>
        <v>-1.0593410438820319</v>
      </c>
      <c r="K53" s="120">
        <f t="shared" si="53"/>
        <v>-0.95229511998177163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x14ac:dyDescent="0.25">
      <c r="A58" s="139">
        <f t="shared" si="48"/>
        <v>6.123520520305293E-2</v>
      </c>
      <c r="B58" s="139">
        <f t="shared" si="49"/>
        <v>0.17334119912354001</v>
      </c>
      <c r="C58" s="155">
        <f t="shared" si="50"/>
        <v>0.12201667211171351</v>
      </c>
      <c r="D58" s="156">
        <f t="shared" si="51"/>
        <v>0.12983161102034738</v>
      </c>
      <c r="E58" s="50" t="s">
        <v>356</v>
      </c>
      <c r="F58" s="71">
        <f>F68/(F70+F71+F72+F73+F74+F75)</f>
        <v>0.14041587038643327</v>
      </c>
      <c r="G58" s="71">
        <f t="shared" ref="G58:K58" si="54">G68/(G70+G71+G72+G73+G74)</f>
        <v>0.1549243227320648</v>
      </c>
      <c r="H58" s="71">
        <f t="shared" si="54"/>
        <v>0.17334119912354001</v>
      </c>
      <c r="I58" s="71">
        <f t="shared" si="54"/>
        <v>0.11924735165426148</v>
      </c>
      <c r="J58" s="71">
        <f t="shared" si="54"/>
        <v>8.2936083570928479E-2</v>
      </c>
      <c r="K58" s="72">
        <f t="shared" si="54"/>
        <v>6.123520520305293E-2</v>
      </c>
    </row>
    <row r="59" spans="1:11" x14ac:dyDescent="0.25">
      <c r="A59" s="139">
        <f t="shared" si="48"/>
        <v>5.1784231870855499E-2</v>
      </c>
      <c r="B59" s="139">
        <f t="shared" si="49"/>
        <v>0.15880709520681813</v>
      </c>
      <c r="C59" s="155">
        <f t="shared" si="50"/>
        <v>0.10554276234695709</v>
      </c>
      <c r="D59" s="156">
        <f t="shared" si="51"/>
        <v>0.11094688997783718</v>
      </c>
      <c r="E59" s="50" t="s">
        <v>361</v>
      </c>
      <c r="F59" s="71">
        <f>F69/(F70+F71+F72+F73+F74+F75)</f>
        <v>0.11330740209776131</v>
      </c>
      <c r="G59" s="71">
        <f t="shared" ref="G59:K59" si="55">G69/(G70+G71+G72+G73+G74+G75)</f>
        <v>0.12543443216620648</v>
      </c>
      <c r="H59" s="71">
        <f t="shared" si="55"/>
        <v>0.15880709520681813</v>
      </c>
      <c r="I59" s="71">
        <f t="shared" si="55"/>
        <v>0.10858637785791304</v>
      </c>
      <c r="J59" s="71">
        <f t="shared" si="55"/>
        <v>7.5337034882188111E-2</v>
      </c>
      <c r="K59" s="72">
        <f t="shared" si="55"/>
        <v>5.1784231870855499E-2</v>
      </c>
    </row>
    <row r="60" spans="1:11" ht="26.4" x14ac:dyDescent="0.25">
      <c r="A60" s="139">
        <f t="shared" si="48"/>
        <v>0.13226112500240902</v>
      </c>
      <c r="B60" s="139">
        <f t="shared" si="49"/>
        <v>0.25723680464046467</v>
      </c>
      <c r="C60" s="160">
        <f t="shared" si="50"/>
        <v>0.19770058951519309</v>
      </c>
      <c r="D60" s="160">
        <f t="shared" si="51"/>
        <v>0.2060647063628831</v>
      </c>
      <c r="E60" s="50" t="s">
        <v>372</v>
      </c>
      <c r="F60" s="119">
        <f>F65/F79*100%</f>
        <v>0.13226112500240902</v>
      </c>
      <c r="G60" s="119">
        <f t="shared" ref="G60:K60" si="56">G65/G79*100%</f>
        <v>0.21628140953965461</v>
      </c>
      <c r="H60" s="119">
        <f t="shared" si="56"/>
        <v>0.25723680464046467</v>
      </c>
      <c r="I60" s="119">
        <f t="shared" si="56"/>
        <v>0.20530893294092192</v>
      </c>
      <c r="J60" s="119">
        <f t="shared" si="56"/>
        <v>0.16829478518286387</v>
      </c>
      <c r="K60" s="120">
        <f t="shared" si="56"/>
        <v>0.2068204797848443</v>
      </c>
    </row>
    <row r="61" spans="1:11" x14ac:dyDescent="0.25">
      <c r="A61" s="139">
        <f t="shared" si="48"/>
        <v>0.10775070861561699</v>
      </c>
      <c r="B61" s="139">
        <f t="shared" si="49"/>
        <v>0.23567468852042647</v>
      </c>
      <c r="C61" s="155">
        <f t="shared" si="50"/>
        <v>0.17211167188176543</v>
      </c>
      <c r="D61" s="156">
        <f t="shared" si="51"/>
        <v>0.17470425616672283</v>
      </c>
      <c r="E61" s="50" t="s">
        <v>373</v>
      </c>
      <c r="F61" s="71">
        <f>F69/F79</f>
        <v>0.10775070861561699</v>
      </c>
      <c r="G61" s="71">
        <f t="shared" ref="G61:K61" si="57">G69/G79</f>
        <v>0.17508825913280943</v>
      </c>
      <c r="H61" s="71">
        <f t="shared" si="57"/>
        <v>0.23567468852042647</v>
      </c>
      <c r="I61" s="71">
        <f t="shared" si="57"/>
        <v>0.18695947048601558</v>
      </c>
      <c r="J61" s="71">
        <f t="shared" si="57"/>
        <v>0.15287665133508771</v>
      </c>
      <c r="K61" s="72">
        <f t="shared" si="57"/>
        <v>0.17432025320063624</v>
      </c>
    </row>
    <row r="62" spans="1:11" x14ac:dyDescent="0.25">
      <c r="A62" s="139">
        <f t="shared" si="48"/>
        <v>-3.1644034568928658</v>
      </c>
      <c r="B62" s="139">
        <f t="shared" si="49"/>
        <v>0.18915997417902963</v>
      </c>
      <c r="C62" s="155">
        <f t="shared" si="50"/>
        <v>-1.4633013801076273</v>
      </c>
      <c r="D62" s="156">
        <f t="shared" si="51"/>
        <v>-1.2786471469921903</v>
      </c>
      <c r="E62" s="50" t="s">
        <v>374</v>
      </c>
      <c r="F62" s="71">
        <f>F69/F80</f>
        <v>0.18915997417902963</v>
      </c>
      <c r="G62" s="71">
        <f>G66/G80</f>
        <v>-0.67024897216500734</v>
      </c>
      <c r="H62" s="71">
        <f>H66/H80</f>
        <v>-1.0628278059685496</v>
      </c>
      <c r="I62" s="71">
        <f>I66/I80</f>
        <v>-1.4944664880158307</v>
      </c>
      <c r="J62" s="71">
        <f>J66/J80</f>
        <v>-2.5770215317825387</v>
      </c>
      <c r="K62" s="72">
        <f>K66/K80</f>
        <v>-3.1644034568928658</v>
      </c>
    </row>
    <row r="63" spans="1:11" ht="13.8" thickBot="1" x14ac:dyDescent="0.3">
      <c r="A63" s="139">
        <f t="shared" si="48"/>
        <v>0.20315486529926002</v>
      </c>
      <c r="B63" s="139">
        <f t="shared" si="49"/>
        <v>0.41979478909933499</v>
      </c>
      <c r="C63" s="155">
        <f t="shared" si="50"/>
        <v>0.31082081809365497</v>
      </c>
      <c r="D63" s="156">
        <f t="shared" si="51"/>
        <v>0.2912000171503088</v>
      </c>
      <c r="E63" s="51" t="s">
        <v>302</v>
      </c>
      <c r="F63" s="73">
        <f t="shared" ref="F63:K63" si="58">F65/(F80+F81)</f>
        <v>0.20315486529926002</v>
      </c>
      <c r="G63" s="73">
        <f t="shared" si="58"/>
        <v>0.26360079174615225</v>
      </c>
      <c r="H63" s="73">
        <f t="shared" si="58"/>
        <v>0.39597442811656514</v>
      </c>
      <c r="I63" s="73">
        <f t="shared" si="58"/>
        <v>0.29922036690055054</v>
      </c>
      <c r="J63" s="73">
        <f t="shared" si="58"/>
        <v>0.28317966740006706</v>
      </c>
      <c r="K63" s="74">
        <f t="shared" si="58"/>
        <v>0.41979478909933499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F268</f>
        <v>1318822.56</v>
      </c>
      <c r="G65" s="76">
        <f t="shared" ref="G65:K65" si="59">G268</f>
        <v>1559301.73</v>
      </c>
      <c r="H65" s="76">
        <f t="shared" si="59"/>
        <v>1640047.71</v>
      </c>
      <c r="I65" s="76">
        <f t="shared" si="59"/>
        <v>855465.26</v>
      </c>
      <c r="J65" s="76">
        <f t="shared" si="59"/>
        <v>563303.56000000006</v>
      </c>
      <c r="K65" s="76">
        <f t="shared" si="59"/>
        <v>319562.65000000002</v>
      </c>
    </row>
    <row r="66" spans="5:12" ht="26.4" x14ac:dyDescent="0.25">
      <c r="E66" s="52" t="s">
        <v>352</v>
      </c>
      <c r="F66" s="76">
        <f>F258</f>
        <v>-2279637.06</v>
      </c>
      <c r="G66" s="76">
        <f t="shared" ref="G66:K66" si="60">G258</f>
        <v>-3101796.27</v>
      </c>
      <c r="H66" s="76">
        <f t="shared" si="60"/>
        <v>-3694797.42</v>
      </c>
      <c r="I66" s="76">
        <f t="shared" si="60"/>
        <v>-3016429.65</v>
      </c>
      <c r="J66" s="76">
        <f t="shared" si="60"/>
        <v>-3193468.43</v>
      </c>
      <c r="K66" s="76">
        <f t="shared" si="60"/>
        <v>-2370873.4700000002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F292</f>
        <v>1331472.51</v>
      </c>
      <c r="G68" s="76">
        <f t="shared" ref="G68:K68" si="61">G292</f>
        <v>1559088.73</v>
      </c>
      <c r="H68" s="76">
        <f t="shared" si="61"/>
        <v>1640081.55</v>
      </c>
      <c r="I68" s="76">
        <f t="shared" si="61"/>
        <v>855487.15</v>
      </c>
      <c r="J68" s="76">
        <f t="shared" si="61"/>
        <v>563310.15</v>
      </c>
      <c r="K68" s="76">
        <f t="shared" si="61"/>
        <v>318502.87</v>
      </c>
    </row>
    <row r="69" spans="5:12" x14ac:dyDescent="0.25">
      <c r="E69" s="43" t="s">
        <v>315</v>
      </c>
      <c r="F69" s="76">
        <f>F295</f>
        <v>1074420.51</v>
      </c>
      <c r="G69" s="76">
        <f t="shared" ref="G69:K69" si="62">G295</f>
        <v>1262315.73</v>
      </c>
      <c r="H69" s="76">
        <f t="shared" si="62"/>
        <v>1502575.55</v>
      </c>
      <c r="I69" s="76">
        <f t="shared" si="62"/>
        <v>779008.15</v>
      </c>
      <c r="J69" s="76">
        <f t="shared" si="62"/>
        <v>511697.15</v>
      </c>
      <c r="K69" s="76">
        <f t="shared" si="62"/>
        <v>269345.87</v>
      </c>
    </row>
    <row r="70" spans="5:12" x14ac:dyDescent="0.25">
      <c r="E70" s="43" t="s">
        <v>358</v>
      </c>
      <c r="F70" s="76">
        <f>F241</f>
        <v>5853407.0099999998</v>
      </c>
      <c r="G70" s="76">
        <f t="shared" ref="G70:K70" si="63">G241</f>
        <v>5352714.17</v>
      </c>
      <c r="H70" s="76">
        <f t="shared" si="63"/>
        <v>4107588.12</v>
      </c>
      <c r="I70" s="76">
        <f t="shared" si="63"/>
        <v>3215746.12</v>
      </c>
      <c r="J70" s="76">
        <f t="shared" si="63"/>
        <v>3014580.1</v>
      </c>
      <c r="K70" s="76">
        <f t="shared" si="63"/>
        <v>2489641.52</v>
      </c>
    </row>
    <row r="71" spans="5:12" x14ac:dyDescent="0.25">
      <c r="E71" s="43" t="s">
        <v>359</v>
      </c>
      <c r="F71" s="76">
        <f>F259</f>
        <v>3616293.62</v>
      </c>
      <c r="G71" s="76">
        <f t="shared" ref="G71:K71" si="64">G259</f>
        <v>4710836.2300000004</v>
      </c>
      <c r="H71" s="76">
        <f t="shared" si="64"/>
        <v>5353991.46</v>
      </c>
      <c r="I71" s="76">
        <f t="shared" si="64"/>
        <v>3958309.64</v>
      </c>
      <c r="J71" s="76">
        <f t="shared" si="64"/>
        <v>3777519.62</v>
      </c>
      <c r="K71" s="76">
        <f t="shared" si="64"/>
        <v>2711661.7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F269</f>
        <v>12649.95</v>
      </c>
      <c r="G75" s="76">
        <f t="shared" ref="G75:K75" si="65">G269</f>
        <v>0</v>
      </c>
      <c r="H75" s="76">
        <f t="shared" si="65"/>
        <v>60.33</v>
      </c>
      <c r="I75" s="76">
        <f t="shared" si="65"/>
        <v>31.5</v>
      </c>
      <c r="J75" s="76">
        <f t="shared" si="65"/>
        <v>6.59</v>
      </c>
      <c r="K75" s="76">
        <f t="shared" si="65"/>
        <v>7.3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9971354.4700000007</v>
      </c>
      <c r="G79" s="76">
        <f t="shared" ref="G79:K79" si="66">G171</f>
        <v>7209596.6699999999</v>
      </c>
      <c r="H79" s="76">
        <f t="shared" si="66"/>
        <v>6375633.9699999997</v>
      </c>
      <c r="I79" s="76">
        <f t="shared" si="66"/>
        <v>4166722.06</v>
      </c>
      <c r="J79" s="76">
        <f t="shared" si="66"/>
        <v>3347124.27</v>
      </c>
      <c r="K79" s="76">
        <f t="shared" si="66"/>
        <v>1545120.92</v>
      </c>
    </row>
    <row r="80" spans="5:12" x14ac:dyDescent="0.25">
      <c r="E80" s="43" t="s">
        <v>311</v>
      </c>
      <c r="F80" s="76">
        <f>F172</f>
        <v>5679956.9500000002</v>
      </c>
      <c r="G80" s="76">
        <f t="shared" ref="G80:K80" si="67">G172</f>
        <v>4627826.97</v>
      </c>
      <c r="H80" s="76">
        <f t="shared" si="67"/>
        <v>3476383.85</v>
      </c>
      <c r="I80" s="76">
        <f t="shared" si="67"/>
        <v>2018398.99</v>
      </c>
      <c r="J80" s="76">
        <f t="shared" si="67"/>
        <v>1239209.06</v>
      </c>
      <c r="K80" s="76">
        <f t="shared" si="67"/>
        <v>749232.36</v>
      </c>
    </row>
    <row r="81" spans="5:14" x14ac:dyDescent="0.25">
      <c r="E81" s="43" t="s">
        <v>317</v>
      </c>
      <c r="F81" s="76">
        <f>F206+F223</f>
        <v>811753.49</v>
      </c>
      <c r="G81" s="76">
        <f t="shared" ref="G81:K81" si="68">G206+G223</f>
        <v>1287563.95</v>
      </c>
      <c r="H81" s="76">
        <f t="shared" si="68"/>
        <v>665418.23</v>
      </c>
      <c r="I81" s="76">
        <f t="shared" si="68"/>
        <v>840581.73</v>
      </c>
      <c r="J81" s="76">
        <f t="shared" si="68"/>
        <v>750000</v>
      </c>
      <c r="K81" s="76">
        <f t="shared" si="68"/>
        <v>12003.03</v>
      </c>
    </row>
    <row r="82" spans="5:14" x14ac:dyDescent="0.25">
      <c r="F82" s="43"/>
      <c r="G82" s="43"/>
      <c r="H82" s="43"/>
      <c r="I82" s="43"/>
      <c r="J82" s="43"/>
      <c r="K82" s="43"/>
    </row>
    <row r="83" spans="5:14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  <c r="L83" s="105"/>
      <c r="M83" s="105"/>
      <c r="N83" s="105"/>
    </row>
    <row r="84" spans="5:14" x14ac:dyDescent="0.25">
      <c r="E84" s="94" t="s">
        <v>102</v>
      </c>
      <c r="F84" s="97">
        <v>7884440.1100000003</v>
      </c>
      <c r="G84" s="97">
        <v>4191595.46</v>
      </c>
      <c r="H84" s="97">
        <v>2665911.33</v>
      </c>
      <c r="I84" s="97">
        <v>1861834.09</v>
      </c>
      <c r="J84" s="97">
        <v>1900861.69</v>
      </c>
      <c r="K84" s="97">
        <v>778194.31</v>
      </c>
      <c r="L84" s="97"/>
      <c r="M84" s="97"/>
      <c r="N84" s="97"/>
    </row>
    <row r="85" spans="5:14" x14ac:dyDescent="0.25">
      <c r="E85" s="94" t="s">
        <v>103</v>
      </c>
      <c r="F85" s="97">
        <v>0</v>
      </c>
      <c r="G85" s="97">
        <v>43.85</v>
      </c>
      <c r="H85" s="97">
        <v>43.85</v>
      </c>
      <c r="I85" s="97">
        <v>118.75</v>
      </c>
      <c r="J85" s="97">
        <v>0</v>
      </c>
      <c r="K85" s="97"/>
      <c r="L85" s="97"/>
      <c r="M85" s="97"/>
      <c r="N85" s="97"/>
    </row>
    <row r="86" spans="5:14" x14ac:dyDescent="0.25">
      <c r="E86" s="94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/>
      <c r="L86" s="97"/>
      <c r="M86" s="97"/>
      <c r="N86" s="97"/>
    </row>
    <row r="87" spans="5:14" x14ac:dyDescent="0.25">
      <c r="E87" s="94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/>
      <c r="L87" s="97"/>
      <c r="M87" s="97"/>
      <c r="N87" s="97"/>
    </row>
    <row r="88" spans="5:14" x14ac:dyDescent="0.25">
      <c r="E88" s="94" t="s">
        <v>106</v>
      </c>
      <c r="F88" s="97">
        <v>0</v>
      </c>
      <c r="G88" s="97">
        <v>43.85</v>
      </c>
      <c r="H88" s="97">
        <v>43.85</v>
      </c>
      <c r="I88" s="97">
        <v>118.75</v>
      </c>
      <c r="J88" s="97">
        <v>0</v>
      </c>
      <c r="K88" s="97"/>
      <c r="L88" s="97"/>
      <c r="M88" s="97"/>
      <c r="N88" s="97"/>
    </row>
    <row r="89" spans="5:14" x14ac:dyDescent="0.25">
      <c r="E89" s="94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/>
      <c r="L89" s="97"/>
      <c r="M89" s="97"/>
      <c r="N89" s="97"/>
    </row>
    <row r="90" spans="5:14" x14ac:dyDescent="0.25">
      <c r="E90" s="94" t="s">
        <v>108</v>
      </c>
      <c r="F90" s="97">
        <v>7884440.1100000003</v>
      </c>
      <c r="G90" s="97">
        <v>4191551.61</v>
      </c>
      <c r="H90" s="97">
        <v>2665867.48</v>
      </c>
      <c r="I90" s="97">
        <v>1861715.34</v>
      </c>
      <c r="J90" s="97">
        <v>1900861.69</v>
      </c>
      <c r="K90" s="97">
        <v>778194.31</v>
      </c>
      <c r="L90" s="97"/>
      <c r="M90" s="97"/>
      <c r="N90" s="97"/>
    </row>
    <row r="91" spans="5:14" x14ac:dyDescent="0.25">
      <c r="E91" s="94" t="s">
        <v>109</v>
      </c>
      <c r="F91" s="97">
        <v>1424076.92</v>
      </c>
      <c r="G91" s="97">
        <v>1596587.13</v>
      </c>
      <c r="H91" s="97">
        <v>1740998.05</v>
      </c>
      <c r="I91" s="97">
        <v>1861715.34</v>
      </c>
      <c r="J91" s="97">
        <v>1900861.69</v>
      </c>
      <c r="K91" s="97">
        <v>575985.13</v>
      </c>
      <c r="L91" s="97"/>
      <c r="M91" s="97"/>
      <c r="N91" s="97"/>
    </row>
    <row r="92" spans="5:14" x14ac:dyDescent="0.25">
      <c r="E92" s="94" t="s">
        <v>110</v>
      </c>
      <c r="F92" s="97">
        <v>164000</v>
      </c>
      <c r="G92" s="97">
        <v>164000</v>
      </c>
      <c r="H92" s="97">
        <v>164400</v>
      </c>
      <c r="I92" s="97">
        <v>164400</v>
      </c>
      <c r="J92" s="97">
        <v>164400</v>
      </c>
      <c r="K92" s="97">
        <v>164400</v>
      </c>
      <c r="L92" s="97"/>
      <c r="M92" s="97"/>
      <c r="N92" s="97"/>
    </row>
    <row r="93" spans="5:14" x14ac:dyDescent="0.25">
      <c r="E93" s="94" t="s">
        <v>111</v>
      </c>
      <c r="F93" s="97">
        <v>1113925.6399999999</v>
      </c>
      <c r="G93" s="97">
        <v>1129380.02</v>
      </c>
      <c r="H93" s="97">
        <v>1164834.3999999999</v>
      </c>
      <c r="I93" s="97">
        <v>1180288.78</v>
      </c>
      <c r="J93" s="97">
        <v>1162743.1599999999</v>
      </c>
      <c r="K93" s="97">
        <v>18331.43</v>
      </c>
      <c r="L93" s="97"/>
      <c r="M93" s="97"/>
      <c r="N93" s="97"/>
    </row>
    <row r="94" spans="5:14" x14ac:dyDescent="0.25">
      <c r="E94" s="94" t="s">
        <v>112</v>
      </c>
      <c r="F94" s="97">
        <v>44090.68</v>
      </c>
      <c r="G94" s="97">
        <v>94325.440000000002</v>
      </c>
      <c r="H94" s="97">
        <v>92920.67</v>
      </c>
      <c r="I94" s="97">
        <v>130739.04</v>
      </c>
      <c r="J94" s="97">
        <v>0</v>
      </c>
      <c r="K94" s="97">
        <v>139673.70000000001</v>
      </c>
      <c r="L94" s="97"/>
      <c r="M94" s="97"/>
      <c r="N94" s="97"/>
    </row>
    <row r="95" spans="5:14" x14ac:dyDescent="0.25">
      <c r="E95" s="94" t="s">
        <v>113</v>
      </c>
      <c r="F95" s="97">
        <v>102060.6</v>
      </c>
      <c r="G95" s="97">
        <v>201071.24</v>
      </c>
      <c r="H95" s="97">
        <v>314582.57</v>
      </c>
      <c r="I95" s="97">
        <v>383430.23</v>
      </c>
      <c r="J95" s="97">
        <v>402249.12</v>
      </c>
      <c r="K95" s="97">
        <v>250277.35</v>
      </c>
      <c r="L95" s="97"/>
      <c r="M95" s="97"/>
      <c r="N95" s="97"/>
    </row>
    <row r="96" spans="5:14" x14ac:dyDescent="0.25">
      <c r="E96" s="94" t="s">
        <v>114</v>
      </c>
      <c r="F96" s="97">
        <v>0</v>
      </c>
      <c r="G96" s="97">
        <v>7810.43</v>
      </c>
      <c r="H96" s="97">
        <v>4260.41</v>
      </c>
      <c r="I96" s="97">
        <v>2857.29</v>
      </c>
      <c r="J96" s="97">
        <v>171469.41</v>
      </c>
      <c r="K96" s="97">
        <v>3302.65</v>
      </c>
      <c r="L96" s="97"/>
      <c r="M96" s="97"/>
      <c r="N96" s="97"/>
    </row>
    <row r="97" spans="5:14" x14ac:dyDescent="0.25">
      <c r="E97" s="94" t="s">
        <v>115</v>
      </c>
      <c r="F97" s="97">
        <v>6460363.1900000004</v>
      </c>
      <c r="G97" s="97">
        <v>2594964.48</v>
      </c>
      <c r="H97" s="97">
        <v>924869.43</v>
      </c>
      <c r="I97" s="97">
        <v>0</v>
      </c>
      <c r="J97" s="97">
        <v>0</v>
      </c>
      <c r="K97" s="97">
        <v>202209.18</v>
      </c>
      <c r="L97" s="97"/>
      <c r="M97" s="97"/>
      <c r="N97" s="97"/>
    </row>
    <row r="98" spans="5:14" x14ac:dyDescent="0.25">
      <c r="E98" s="94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/>
      <c r="L98" s="97"/>
      <c r="M98" s="97"/>
      <c r="N98" s="97"/>
    </row>
    <row r="99" spans="5:14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/>
      <c r="L99" s="97"/>
      <c r="M99" s="97"/>
      <c r="N99" s="97"/>
    </row>
    <row r="100" spans="5:14" x14ac:dyDescent="0.25">
      <c r="E100" s="94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/>
      <c r="L100" s="97"/>
      <c r="M100" s="97"/>
      <c r="N100" s="97"/>
    </row>
    <row r="101" spans="5:14" x14ac:dyDescent="0.25">
      <c r="E101" s="94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/>
      <c r="L101" s="97"/>
      <c r="M101" s="97"/>
      <c r="N101" s="97"/>
    </row>
    <row r="102" spans="5:14" x14ac:dyDescent="0.25">
      <c r="E102" s="94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/>
      <c r="L102" s="97"/>
      <c r="M102" s="97"/>
      <c r="N102" s="97"/>
    </row>
    <row r="103" spans="5:14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/>
      <c r="L103" s="97"/>
      <c r="M103" s="97"/>
      <c r="N103" s="97"/>
    </row>
    <row r="104" spans="5:14" x14ac:dyDescent="0.25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/>
      <c r="L104" s="97"/>
      <c r="M104" s="97"/>
      <c r="N104" s="97"/>
    </row>
    <row r="105" spans="5:14" x14ac:dyDescent="0.25">
      <c r="E105" s="94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/>
      <c r="L105" s="97"/>
      <c r="M105" s="97"/>
      <c r="N105" s="97"/>
    </row>
    <row r="106" spans="5:14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/>
      <c r="L106" s="97"/>
      <c r="M106" s="97"/>
      <c r="N106" s="97"/>
    </row>
    <row r="107" spans="5:14" x14ac:dyDescent="0.25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/>
      <c r="L107" s="97"/>
      <c r="M107" s="97"/>
      <c r="N107" s="97"/>
    </row>
    <row r="108" spans="5:14" x14ac:dyDescent="0.25">
      <c r="E108" s="94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/>
      <c r="L108" s="97"/>
      <c r="M108" s="97"/>
      <c r="N108" s="97"/>
    </row>
    <row r="109" spans="5:14" ht="15" customHeight="1" x14ac:dyDescent="0.25">
      <c r="E109" s="94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/>
      <c r="L109" s="97"/>
      <c r="M109" s="97"/>
      <c r="N109" s="97"/>
    </row>
    <row r="110" spans="5:14" ht="15" customHeight="1" x14ac:dyDescent="0.25">
      <c r="E110" s="94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/>
      <c r="L110" s="97"/>
      <c r="M110" s="97"/>
      <c r="N110" s="97"/>
    </row>
    <row r="111" spans="5:14" ht="15" customHeight="1" x14ac:dyDescent="0.25">
      <c r="E111" s="94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/>
      <c r="L111" s="97"/>
      <c r="M111" s="97"/>
      <c r="N111" s="97"/>
    </row>
    <row r="112" spans="5:14" ht="15" customHeight="1" x14ac:dyDescent="0.25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/>
      <c r="L112" s="97"/>
      <c r="M112" s="97"/>
      <c r="N112" s="97"/>
    </row>
    <row r="113" spans="5:14" ht="15" customHeight="1" x14ac:dyDescent="0.25">
      <c r="E113" s="94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/>
      <c r="L113" s="97"/>
      <c r="M113" s="97"/>
      <c r="N113" s="97"/>
    </row>
    <row r="114" spans="5:14" x14ac:dyDescent="0.25">
      <c r="E114" s="94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/>
      <c r="L114" s="97"/>
      <c r="M114" s="97"/>
      <c r="N114" s="97"/>
    </row>
    <row r="115" spans="5:14" x14ac:dyDescent="0.25">
      <c r="E115" s="94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/>
      <c r="L115" s="97"/>
      <c r="M115" s="97"/>
      <c r="N115" s="97"/>
    </row>
    <row r="116" spans="5:14" ht="15" customHeight="1" x14ac:dyDescent="0.25">
      <c r="E116" s="94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/>
      <c r="L116" s="97"/>
      <c r="M116" s="97"/>
      <c r="N116" s="97"/>
    </row>
    <row r="117" spans="5:14" ht="15" customHeight="1" x14ac:dyDescent="0.25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/>
      <c r="L117" s="97"/>
      <c r="M117" s="97"/>
      <c r="N117" s="97"/>
    </row>
    <row r="118" spans="5:14" ht="15" customHeight="1" x14ac:dyDescent="0.25">
      <c r="E118" s="94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/>
      <c r="L118" s="97"/>
      <c r="M118" s="97"/>
      <c r="N118" s="97"/>
    </row>
    <row r="119" spans="5:14" ht="15" customHeight="1" x14ac:dyDescent="0.25">
      <c r="E119" s="94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/>
      <c r="L119" s="97"/>
      <c r="M119" s="97"/>
      <c r="N119" s="97"/>
    </row>
    <row r="120" spans="5:14" x14ac:dyDescent="0.25">
      <c r="E120" s="94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/>
      <c r="L120" s="97"/>
      <c r="M120" s="97"/>
      <c r="N120" s="97"/>
    </row>
    <row r="121" spans="5:14" x14ac:dyDescent="0.25">
      <c r="E121" s="94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/>
      <c r="L121" s="97"/>
      <c r="M121" s="97"/>
      <c r="N121" s="97"/>
    </row>
    <row r="122" spans="5:14" x14ac:dyDescent="0.25">
      <c r="E122" s="94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/>
      <c r="L122" s="97"/>
      <c r="M122" s="97"/>
      <c r="N122" s="97"/>
    </row>
    <row r="123" spans="5:14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/>
      <c r="L123" s="97"/>
      <c r="M123" s="97"/>
      <c r="N123" s="97"/>
    </row>
    <row r="124" spans="5:14" x14ac:dyDescent="0.25">
      <c r="E124" s="94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/>
      <c r="L124" s="97"/>
      <c r="M124" s="97"/>
      <c r="N124" s="97"/>
    </row>
    <row r="125" spans="5:14" ht="15" customHeight="1" x14ac:dyDescent="0.25">
      <c r="E125" s="94" t="s">
        <v>135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/>
      <c r="L125" s="97"/>
      <c r="M125" s="97"/>
      <c r="N125" s="97"/>
    </row>
    <row r="126" spans="5:14" x14ac:dyDescent="0.25">
      <c r="E126" s="94" t="s">
        <v>136</v>
      </c>
      <c r="F126" s="97">
        <v>2086914.36</v>
      </c>
      <c r="G126" s="97">
        <v>3018001.21</v>
      </c>
      <c r="H126" s="97">
        <v>3709722.64</v>
      </c>
      <c r="I126" s="97">
        <v>2304887.9700000002</v>
      </c>
      <c r="J126" s="97">
        <v>1446262.58</v>
      </c>
      <c r="K126" s="97">
        <v>766926.61</v>
      </c>
      <c r="L126" s="97"/>
      <c r="M126" s="97"/>
      <c r="N126" s="97"/>
    </row>
    <row r="127" spans="5:14" ht="15" customHeight="1" x14ac:dyDescent="0.25">
      <c r="E127" s="94" t="s">
        <v>137</v>
      </c>
      <c r="F127" s="97">
        <v>31058.63</v>
      </c>
      <c r="G127" s="97">
        <v>0</v>
      </c>
      <c r="H127" s="97">
        <v>42536.06</v>
      </c>
      <c r="I127" s="97">
        <v>26161.37</v>
      </c>
      <c r="J127" s="97">
        <v>0</v>
      </c>
      <c r="K127" s="97"/>
      <c r="L127" s="97"/>
      <c r="M127" s="97"/>
      <c r="N127" s="97"/>
    </row>
    <row r="128" spans="5:14" ht="15" customHeight="1" x14ac:dyDescent="0.25">
      <c r="E128" s="94" t="s">
        <v>138</v>
      </c>
      <c r="F128" s="97">
        <v>0</v>
      </c>
      <c r="G128" s="97">
        <v>0</v>
      </c>
      <c r="H128" s="97">
        <v>0</v>
      </c>
      <c r="I128" s="97">
        <v>0</v>
      </c>
      <c r="J128" s="97">
        <v>0</v>
      </c>
      <c r="K128" s="97"/>
      <c r="L128" s="97"/>
      <c r="M128" s="97"/>
      <c r="N128" s="97"/>
    </row>
    <row r="129" spans="5:14" ht="15" customHeight="1" x14ac:dyDescent="0.25">
      <c r="E129" s="94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/>
      <c r="L129" s="97"/>
      <c r="M129" s="97"/>
      <c r="N129" s="97"/>
    </row>
    <row r="130" spans="5:14" ht="15" customHeight="1" x14ac:dyDescent="0.25">
      <c r="E130" s="94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/>
      <c r="L130" s="97"/>
      <c r="M130" s="97"/>
      <c r="N130" s="97"/>
    </row>
    <row r="131" spans="5:14" ht="15" customHeight="1" x14ac:dyDescent="0.25">
      <c r="E131" s="94" t="s">
        <v>141</v>
      </c>
      <c r="F131" s="97">
        <v>0</v>
      </c>
      <c r="G131" s="97">
        <v>0</v>
      </c>
      <c r="H131" s="97">
        <v>42536.06</v>
      </c>
      <c r="I131" s="97">
        <v>26161.37</v>
      </c>
      <c r="J131" s="97">
        <v>0</v>
      </c>
      <c r="K131" s="97"/>
      <c r="L131" s="97"/>
      <c r="M131" s="97"/>
      <c r="N131" s="97"/>
    </row>
    <row r="132" spans="5:14" x14ac:dyDescent="0.25">
      <c r="E132" s="94" t="s">
        <v>142</v>
      </c>
      <c r="F132" s="97">
        <v>31058.63</v>
      </c>
      <c r="G132" s="97">
        <v>0</v>
      </c>
      <c r="H132" s="97">
        <v>0</v>
      </c>
      <c r="I132" s="97">
        <v>0</v>
      </c>
      <c r="J132" s="97">
        <v>0</v>
      </c>
      <c r="K132" s="97"/>
      <c r="L132" s="97"/>
      <c r="M132" s="97"/>
      <c r="N132" s="97"/>
    </row>
    <row r="133" spans="5:14" x14ac:dyDescent="0.25">
      <c r="E133" s="94" t="s">
        <v>143</v>
      </c>
      <c r="F133" s="97">
        <v>330756.07</v>
      </c>
      <c r="G133" s="97">
        <v>406902.1</v>
      </c>
      <c r="H133" s="97">
        <v>522469.14</v>
      </c>
      <c r="I133" s="97">
        <v>288572.52</v>
      </c>
      <c r="J133" s="97">
        <v>343574.3</v>
      </c>
      <c r="K133" s="97">
        <v>169785.51</v>
      </c>
      <c r="L133" s="97"/>
      <c r="M133" s="97"/>
      <c r="N133" s="97"/>
    </row>
    <row r="134" spans="5:14" x14ac:dyDescent="0.25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/>
      <c r="L134" s="97"/>
      <c r="M134" s="97"/>
      <c r="N134" s="97"/>
    </row>
    <row r="135" spans="5:14" x14ac:dyDescent="0.25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/>
      <c r="L135" s="97"/>
      <c r="M135" s="97"/>
      <c r="N135" s="97"/>
    </row>
    <row r="136" spans="5:14" x14ac:dyDescent="0.25">
      <c r="E136" s="94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/>
      <c r="L136" s="97"/>
      <c r="M136" s="97"/>
      <c r="N136" s="97"/>
    </row>
    <row r="137" spans="5:14" x14ac:dyDescent="0.25">
      <c r="E137" s="94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/>
      <c r="L137" s="97"/>
      <c r="M137" s="97"/>
      <c r="N137" s="97"/>
    </row>
    <row r="138" spans="5:14" x14ac:dyDescent="0.25">
      <c r="E138" s="94" t="s">
        <v>148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/>
      <c r="L138" s="97"/>
      <c r="M138" s="97"/>
      <c r="N138" s="97"/>
    </row>
    <row r="139" spans="5:14" x14ac:dyDescent="0.25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/>
      <c r="L139" s="97"/>
      <c r="M139" s="97"/>
      <c r="N139" s="97"/>
    </row>
    <row r="140" spans="5:14" x14ac:dyDescent="0.25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/>
      <c r="L140" s="97"/>
      <c r="M140" s="97"/>
      <c r="N140" s="97"/>
    </row>
    <row r="141" spans="5:14" x14ac:dyDescent="0.25">
      <c r="E141" s="94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/>
      <c r="L141" s="97"/>
      <c r="M141" s="97"/>
      <c r="N141" s="97"/>
    </row>
    <row r="142" spans="5:14" x14ac:dyDescent="0.25">
      <c r="E142" s="94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/>
      <c r="L142" s="97"/>
      <c r="M142" s="97"/>
      <c r="N142" s="97"/>
    </row>
    <row r="143" spans="5:14" x14ac:dyDescent="0.25">
      <c r="E143" s="94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/>
      <c r="L143" s="97"/>
      <c r="M143" s="97"/>
      <c r="N143" s="97"/>
    </row>
    <row r="144" spans="5:14" x14ac:dyDescent="0.25">
      <c r="E144" s="94" t="s">
        <v>150</v>
      </c>
      <c r="F144" s="97">
        <v>330756.07</v>
      </c>
      <c r="G144" s="97">
        <v>406902.1</v>
      </c>
      <c r="H144" s="97">
        <v>522469.14</v>
      </c>
      <c r="I144" s="97">
        <v>288572.52</v>
      </c>
      <c r="J144" s="97">
        <v>343574.3</v>
      </c>
      <c r="K144" s="97">
        <v>169785.51</v>
      </c>
      <c r="L144" s="97"/>
      <c r="M144" s="97"/>
      <c r="N144" s="97"/>
    </row>
    <row r="145" spans="5:14" x14ac:dyDescent="0.25">
      <c r="E145" s="94" t="s">
        <v>145</v>
      </c>
      <c r="F145" s="97">
        <v>201552.25</v>
      </c>
      <c r="G145" s="97">
        <v>217037.48</v>
      </c>
      <c r="H145" s="97">
        <v>157625</v>
      </c>
      <c r="I145" s="97">
        <v>210466.43</v>
      </c>
      <c r="J145" s="97">
        <v>217397.65</v>
      </c>
      <c r="K145" s="97">
        <v>137326.01999999999</v>
      </c>
      <c r="L145" s="97"/>
      <c r="M145" s="97"/>
      <c r="N145" s="97"/>
    </row>
    <row r="146" spans="5:14" x14ac:dyDescent="0.25">
      <c r="E146" s="94" t="s">
        <v>146</v>
      </c>
      <c r="F146" s="97">
        <v>201552.25</v>
      </c>
      <c r="G146" s="97">
        <v>217037.48</v>
      </c>
      <c r="H146" s="97">
        <v>157625</v>
      </c>
      <c r="I146" s="97">
        <v>210466.43</v>
      </c>
      <c r="J146" s="97">
        <v>217397.65</v>
      </c>
      <c r="K146" s="97">
        <v>137326.01999999999</v>
      </c>
      <c r="L146" s="97"/>
      <c r="M146" s="97"/>
      <c r="N146" s="97"/>
    </row>
    <row r="147" spans="5:14" x14ac:dyDescent="0.25">
      <c r="E147" s="94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/>
      <c r="L147" s="97"/>
      <c r="M147" s="97"/>
      <c r="N147" s="97"/>
    </row>
    <row r="148" spans="5:14" x14ac:dyDescent="0.25">
      <c r="E148" s="94" t="s">
        <v>151</v>
      </c>
      <c r="F148" s="97">
        <v>114309.2</v>
      </c>
      <c r="G148" s="97">
        <v>179316.67</v>
      </c>
      <c r="H148" s="97">
        <v>307602.68</v>
      </c>
      <c r="I148" s="97">
        <v>10842.11</v>
      </c>
      <c r="J148" s="97">
        <v>20466.34</v>
      </c>
      <c r="K148" s="97">
        <v>18946.53</v>
      </c>
      <c r="L148" s="97"/>
      <c r="M148" s="97"/>
      <c r="N148" s="97"/>
    </row>
    <row r="149" spans="5:14" x14ac:dyDescent="0.25">
      <c r="E149" s="94" t="s">
        <v>152</v>
      </c>
      <c r="F149" s="97">
        <v>14894.62</v>
      </c>
      <c r="G149" s="97">
        <v>10547.95</v>
      </c>
      <c r="H149" s="97">
        <v>57241.46</v>
      </c>
      <c r="I149" s="97">
        <v>67263.98</v>
      </c>
      <c r="J149" s="97">
        <v>105710.31</v>
      </c>
      <c r="K149" s="97">
        <v>13512.96</v>
      </c>
      <c r="L149" s="97"/>
      <c r="M149" s="97"/>
      <c r="N149" s="97"/>
    </row>
    <row r="150" spans="5:14" x14ac:dyDescent="0.25">
      <c r="E150" s="94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/>
      <c r="L150" s="97"/>
      <c r="M150" s="97"/>
      <c r="N150" s="97"/>
    </row>
    <row r="151" spans="5:14" x14ac:dyDescent="0.25">
      <c r="E151" s="94" t="s">
        <v>154</v>
      </c>
      <c r="F151" s="97">
        <v>1646566.59</v>
      </c>
      <c r="G151" s="97">
        <v>2586474.25</v>
      </c>
      <c r="H151" s="97">
        <v>3121503.04</v>
      </c>
      <c r="I151" s="97">
        <v>1970684.58</v>
      </c>
      <c r="J151" s="97">
        <v>1090058.28</v>
      </c>
      <c r="K151" s="97">
        <v>569973.71</v>
      </c>
      <c r="L151" s="97"/>
      <c r="M151" s="97"/>
      <c r="N151" s="97"/>
    </row>
    <row r="152" spans="5:14" x14ac:dyDescent="0.25">
      <c r="E152" s="94" t="s">
        <v>155</v>
      </c>
      <c r="F152" s="97">
        <v>1646566.59</v>
      </c>
      <c r="G152" s="97">
        <v>2586474.25</v>
      </c>
      <c r="H152" s="97">
        <v>3121503.04</v>
      </c>
      <c r="I152" s="97">
        <v>1970684.58</v>
      </c>
      <c r="J152" s="97">
        <v>1090058.28</v>
      </c>
      <c r="K152" s="97">
        <v>569973.71</v>
      </c>
      <c r="L152" s="97"/>
      <c r="M152" s="97"/>
      <c r="N152" s="97"/>
    </row>
    <row r="153" spans="5:14" x14ac:dyDescent="0.25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/>
      <c r="L153" s="97"/>
      <c r="M153" s="97"/>
      <c r="N153" s="97"/>
    </row>
    <row r="154" spans="5:14" x14ac:dyDescent="0.25">
      <c r="E154" s="94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/>
      <c r="L154" s="97"/>
      <c r="M154" s="97"/>
      <c r="N154" s="97"/>
    </row>
    <row r="155" spans="5:14" x14ac:dyDescent="0.25">
      <c r="E155" s="94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/>
      <c r="L155" s="97"/>
      <c r="M155" s="97"/>
      <c r="N155" s="97"/>
    </row>
    <row r="156" spans="5:14" x14ac:dyDescent="0.25">
      <c r="E156" s="94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/>
      <c r="L156" s="97"/>
      <c r="M156" s="97"/>
      <c r="N156" s="97"/>
    </row>
    <row r="157" spans="5:14" x14ac:dyDescent="0.25">
      <c r="E157" s="94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/>
      <c r="L157" s="97"/>
      <c r="M157" s="97"/>
      <c r="N157" s="97"/>
    </row>
    <row r="158" spans="5:14" x14ac:dyDescent="0.25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/>
      <c r="L158" s="97"/>
      <c r="M158" s="97"/>
      <c r="N158" s="97"/>
    </row>
    <row r="159" spans="5:14" x14ac:dyDescent="0.25">
      <c r="E159" s="94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/>
      <c r="L159" s="97"/>
      <c r="M159" s="97"/>
      <c r="N159" s="97"/>
    </row>
    <row r="160" spans="5:14" x14ac:dyDescent="0.25">
      <c r="E160" s="94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/>
      <c r="L160" s="97"/>
      <c r="M160" s="97"/>
      <c r="N160" s="97"/>
    </row>
    <row r="161" spans="5:14" x14ac:dyDescent="0.25">
      <c r="E161" s="94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/>
      <c r="L161" s="97"/>
      <c r="M161" s="97"/>
      <c r="N161" s="97"/>
    </row>
    <row r="162" spans="5:14" x14ac:dyDescent="0.25">
      <c r="E162" s="94" t="s">
        <v>159</v>
      </c>
      <c r="F162" s="97">
        <v>0</v>
      </c>
      <c r="G162" s="97">
        <v>0</v>
      </c>
      <c r="H162" s="97">
        <v>0</v>
      </c>
      <c r="I162" s="97">
        <v>0</v>
      </c>
      <c r="J162" s="97">
        <v>0</v>
      </c>
      <c r="K162" s="97"/>
      <c r="L162" s="97"/>
      <c r="M162" s="97"/>
      <c r="N162" s="97"/>
    </row>
    <row r="163" spans="5:14" x14ac:dyDescent="0.25">
      <c r="E163" s="94" t="s">
        <v>161</v>
      </c>
      <c r="F163" s="97">
        <v>1646566.59</v>
      </c>
      <c r="G163" s="97">
        <v>2586474.25</v>
      </c>
      <c r="H163" s="97">
        <v>3121503.04</v>
      </c>
      <c r="I163" s="97">
        <v>1970684.58</v>
      </c>
      <c r="J163" s="97">
        <v>1090058.28</v>
      </c>
      <c r="K163" s="97">
        <v>569973.71</v>
      </c>
      <c r="L163" s="97"/>
      <c r="M163" s="97"/>
      <c r="N163" s="97"/>
    </row>
    <row r="164" spans="5:14" x14ac:dyDescent="0.25">
      <c r="E164" s="94" t="s">
        <v>162</v>
      </c>
      <c r="F164" s="97">
        <v>1646566.59</v>
      </c>
      <c r="G164" s="97">
        <v>2586474.25</v>
      </c>
      <c r="H164" s="97">
        <v>3121503.04</v>
      </c>
      <c r="I164" s="97">
        <v>1970684.58</v>
      </c>
      <c r="J164" s="97">
        <v>1088646.81</v>
      </c>
      <c r="K164" s="97">
        <v>569973.71</v>
      </c>
      <c r="L164" s="97"/>
      <c r="M164" s="97"/>
      <c r="N164" s="97"/>
    </row>
    <row r="165" spans="5:14" x14ac:dyDescent="0.25">
      <c r="E165" s="94" t="s">
        <v>163</v>
      </c>
      <c r="F165" s="97">
        <v>0</v>
      </c>
      <c r="G165" s="97">
        <v>0</v>
      </c>
      <c r="H165" s="97">
        <v>0</v>
      </c>
      <c r="I165" s="97">
        <v>0</v>
      </c>
      <c r="J165" s="97">
        <v>0</v>
      </c>
      <c r="K165" s="97"/>
      <c r="L165" s="97"/>
      <c r="M165" s="97"/>
      <c r="N165" s="97"/>
    </row>
    <row r="166" spans="5:14" x14ac:dyDescent="0.25">
      <c r="E166" s="94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1411.47</v>
      </c>
      <c r="K166" s="97"/>
      <c r="L166" s="97"/>
      <c r="M166" s="97"/>
      <c r="N166" s="97"/>
    </row>
    <row r="167" spans="5:14" x14ac:dyDescent="0.25">
      <c r="E167" s="94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/>
      <c r="L167" s="97"/>
      <c r="M167" s="97"/>
      <c r="N167" s="97"/>
    </row>
    <row r="168" spans="5:14" x14ac:dyDescent="0.25">
      <c r="E168" s="94" t="s">
        <v>166</v>
      </c>
      <c r="F168" s="97">
        <v>78533.070000000007</v>
      </c>
      <c r="G168" s="97">
        <v>24624.86</v>
      </c>
      <c r="H168" s="97">
        <v>23214.400000000001</v>
      </c>
      <c r="I168" s="97">
        <v>19469.5</v>
      </c>
      <c r="J168" s="97">
        <v>12630</v>
      </c>
      <c r="K168" s="97">
        <v>27167.39</v>
      </c>
      <c r="L168" s="97"/>
      <c r="M168" s="97"/>
      <c r="N168" s="97"/>
    </row>
    <row r="169" spans="5:14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  <c r="L169" s="97"/>
      <c r="M169" s="97"/>
      <c r="N169" s="97"/>
    </row>
    <row r="170" spans="5:14" x14ac:dyDescent="0.25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/>
      <c r="L170" s="97"/>
      <c r="M170" s="97"/>
      <c r="N170" s="97"/>
    </row>
    <row r="171" spans="5:14" x14ac:dyDescent="0.25">
      <c r="E171" s="94" t="s">
        <v>169</v>
      </c>
      <c r="F171" s="97">
        <v>9971354.4700000007</v>
      </c>
      <c r="G171" s="97">
        <v>7209596.6699999999</v>
      </c>
      <c r="H171" s="97">
        <v>6375633.9699999997</v>
      </c>
      <c r="I171" s="97">
        <v>4166722.06</v>
      </c>
      <c r="J171" s="97">
        <v>3347124.27</v>
      </c>
      <c r="K171" s="97">
        <v>1545120.92</v>
      </c>
      <c r="L171" s="97"/>
      <c r="M171" s="97"/>
      <c r="N171" s="97"/>
    </row>
    <row r="172" spans="5:14" x14ac:dyDescent="0.25">
      <c r="E172" s="94" t="s">
        <v>170</v>
      </c>
      <c r="F172" s="97">
        <v>5679956.9500000002</v>
      </c>
      <c r="G172" s="97">
        <v>4627826.97</v>
      </c>
      <c r="H172" s="97">
        <v>3476383.85</v>
      </c>
      <c r="I172" s="97">
        <v>2018398.99</v>
      </c>
      <c r="J172" s="97">
        <v>1239209.06</v>
      </c>
      <c r="K172" s="97">
        <v>749232.36</v>
      </c>
      <c r="L172" s="97"/>
      <c r="M172" s="97"/>
      <c r="N172" s="97"/>
    </row>
    <row r="173" spans="5:14" x14ac:dyDescent="0.25">
      <c r="E173" s="94" t="s">
        <v>171</v>
      </c>
      <c r="F173" s="97"/>
      <c r="G173" s="97"/>
      <c r="H173" s="97"/>
      <c r="I173" s="97"/>
      <c r="J173" s="97"/>
      <c r="K173" s="97"/>
      <c r="L173" s="97"/>
      <c r="M173" s="97"/>
      <c r="N173" s="97"/>
    </row>
    <row r="174" spans="5:14" x14ac:dyDescent="0.25">
      <c r="E174" s="94" t="s">
        <v>262</v>
      </c>
      <c r="F174" s="97"/>
      <c r="G174" s="97"/>
      <c r="H174" s="97"/>
      <c r="I174" s="97"/>
      <c r="J174" s="97"/>
      <c r="K174" s="97"/>
      <c r="L174" s="97"/>
      <c r="M174" s="97"/>
      <c r="N174" s="97"/>
    </row>
    <row r="175" spans="5:14" x14ac:dyDescent="0.25">
      <c r="E175" s="94" t="s">
        <v>263</v>
      </c>
      <c r="F175" s="97"/>
      <c r="G175" s="97"/>
      <c r="H175" s="97"/>
      <c r="I175" s="97"/>
      <c r="J175" s="97"/>
      <c r="K175" s="97"/>
      <c r="L175" s="97"/>
      <c r="M175" s="97"/>
      <c r="N175" s="97"/>
    </row>
    <row r="176" spans="5:14" x14ac:dyDescent="0.25">
      <c r="E176" s="94" t="s">
        <v>264</v>
      </c>
      <c r="F176" s="97"/>
      <c r="G176" s="97"/>
      <c r="H176" s="97"/>
      <c r="I176" s="97"/>
      <c r="J176" s="97"/>
      <c r="K176" s="97"/>
      <c r="L176" s="97"/>
      <c r="M176" s="97"/>
      <c r="N176" s="97"/>
    </row>
    <row r="177" spans="5:14" x14ac:dyDescent="0.25">
      <c r="E177" s="94" t="s">
        <v>265</v>
      </c>
      <c r="F177" s="97"/>
      <c r="G177" s="97"/>
      <c r="H177" s="97"/>
      <c r="I177" s="97"/>
      <c r="J177" s="97"/>
      <c r="K177" s="97"/>
      <c r="L177" s="97"/>
      <c r="M177" s="97"/>
      <c r="N177" s="97"/>
    </row>
    <row r="178" spans="5:14" x14ac:dyDescent="0.25">
      <c r="E178" s="94" t="s">
        <v>266</v>
      </c>
      <c r="F178" s="97"/>
      <c r="G178" s="97"/>
      <c r="H178" s="97"/>
      <c r="I178" s="97"/>
      <c r="J178" s="97"/>
      <c r="K178" s="97"/>
      <c r="L178" s="97"/>
      <c r="M178" s="97"/>
      <c r="N178" s="97"/>
    </row>
    <row r="179" spans="5:14" x14ac:dyDescent="0.25">
      <c r="E179" s="94" t="s">
        <v>267</v>
      </c>
      <c r="F179" s="97"/>
      <c r="G179" s="97"/>
      <c r="H179" s="97"/>
      <c r="I179" s="97"/>
      <c r="J179" s="97"/>
      <c r="K179" s="97"/>
      <c r="L179" s="97"/>
      <c r="M179" s="97"/>
      <c r="N179" s="97"/>
    </row>
    <row r="180" spans="5:14" x14ac:dyDescent="0.25">
      <c r="E180" s="94" t="s">
        <v>268</v>
      </c>
      <c r="F180" s="97"/>
      <c r="G180" s="97"/>
      <c r="H180" s="97"/>
      <c r="I180" s="97"/>
      <c r="J180" s="97"/>
      <c r="K180" s="97"/>
      <c r="L180" s="97"/>
      <c r="M180" s="97"/>
      <c r="N180" s="97"/>
    </row>
    <row r="181" spans="5:14" x14ac:dyDescent="0.25">
      <c r="E181" s="94" t="s">
        <v>269</v>
      </c>
      <c r="F181" s="97"/>
      <c r="G181" s="97"/>
      <c r="H181" s="97"/>
      <c r="I181" s="97"/>
      <c r="J181" s="97"/>
      <c r="K181" s="97"/>
      <c r="L181" s="97"/>
      <c r="M181" s="97"/>
      <c r="N181" s="97"/>
    </row>
    <row r="182" spans="5:14" x14ac:dyDescent="0.25">
      <c r="E182" s="94" t="s">
        <v>171</v>
      </c>
      <c r="F182" s="97">
        <v>19000</v>
      </c>
      <c r="G182" s="97">
        <v>19000</v>
      </c>
      <c r="H182" s="97">
        <v>19000</v>
      </c>
      <c r="I182" s="97">
        <v>19000</v>
      </c>
      <c r="J182" s="97">
        <v>19000</v>
      </c>
      <c r="K182" s="97">
        <v>18000</v>
      </c>
      <c r="L182" s="97"/>
      <c r="M182" s="97"/>
      <c r="N182" s="97"/>
    </row>
    <row r="183" spans="5:14" x14ac:dyDescent="0.25">
      <c r="E183" s="94" t="s">
        <v>172</v>
      </c>
      <c r="F183" s="97">
        <v>1881793.72</v>
      </c>
      <c r="G183" s="97">
        <v>1622670.84</v>
      </c>
      <c r="H183" s="97">
        <v>1235021.6599999999</v>
      </c>
      <c r="I183" s="97">
        <v>748012.79</v>
      </c>
      <c r="J183" s="97">
        <v>392307.21</v>
      </c>
      <c r="K183" s="97">
        <v>202765.1</v>
      </c>
      <c r="L183" s="97"/>
      <c r="M183" s="97"/>
      <c r="N183" s="97"/>
    </row>
    <row r="184" spans="5:14" x14ac:dyDescent="0.25">
      <c r="E184" s="94" t="s">
        <v>173</v>
      </c>
      <c r="F184" s="97">
        <v>0</v>
      </c>
      <c r="G184" s="97">
        <v>0</v>
      </c>
      <c r="H184" s="97">
        <v>0</v>
      </c>
      <c r="I184" s="97">
        <v>0</v>
      </c>
      <c r="J184" s="97">
        <v>0</v>
      </c>
      <c r="K184" s="97"/>
      <c r="L184" s="97"/>
      <c r="M184" s="97"/>
      <c r="N184" s="97"/>
    </row>
    <row r="185" spans="5:14" x14ac:dyDescent="0.25">
      <c r="E185" s="94" t="s">
        <v>174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/>
      <c r="L185" s="97"/>
      <c r="M185" s="97"/>
      <c r="N185" s="97"/>
    </row>
    <row r="186" spans="5:14" x14ac:dyDescent="0.25">
      <c r="E186" s="94" t="s">
        <v>175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/>
      <c r="L186" s="97"/>
      <c r="M186" s="97"/>
      <c r="N186" s="97"/>
    </row>
    <row r="187" spans="5:14" x14ac:dyDescent="0.25">
      <c r="E187" s="94" t="s">
        <v>176</v>
      </c>
      <c r="F187" s="97">
        <v>2704742.72</v>
      </c>
      <c r="G187" s="97">
        <v>1723840.4</v>
      </c>
      <c r="H187" s="97">
        <v>719786.64</v>
      </c>
      <c r="I187" s="97">
        <v>472378.05</v>
      </c>
      <c r="J187" s="97">
        <v>316204.7</v>
      </c>
      <c r="K187" s="97">
        <v>259121.39</v>
      </c>
      <c r="L187" s="97"/>
      <c r="M187" s="97"/>
      <c r="N187" s="97"/>
    </row>
    <row r="188" spans="5:14" x14ac:dyDescent="0.25">
      <c r="E188" s="94" t="s">
        <v>177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181214.07</v>
      </c>
      <c r="L188" s="97"/>
      <c r="M188" s="97"/>
      <c r="N188" s="97"/>
    </row>
    <row r="189" spans="5:14" x14ac:dyDescent="0.25">
      <c r="E189" s="94" t="s">
        <v>178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/>
      <c r="L189" s="97"/>
      <c r="M189" s="97"/>
      <c r="N189" s="97"/>
    </row>
    <row r="190" spans="5:14" x14ac:dyDescent="0.25">
      <c r="E190" s="94" t="s">
        <v>179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L190" s="97"/>
      <c r="M190" s="97"/>
      <c r="N190" s="97"/>
    </row>
    <row r="191" spans="5:14" x14ac:dyDescent="0.25">
      <c r="E191" s="94" t="s">
        <v>180</v>
      </c>
      <c r="F191" s="97">
        <v>1074420.51</v>
      </c>
      <c r="G191" s="97">
        <v>1262315.73</v>
      </c>
      <c r="H191" s="97">
        <v>1502575.55</v>
      </c>
      <c r="I191" s="97">
        <v>779008.15</v>
      </c>
      <c r="J191" s="97">
        <v>511697.15</v>
      </c>
      <c r="K191" s="97">
        <v>269345.87</v>
      </c>
      <c r="L191" s="97"/>
      <c r="M191" s="97"/>
      <c r="N191" s="97"/>
    </row>
    <row r="192" spans="5:14" x14ac:dyDescent="0.25">
      <c r="E192" s="94" t="s">
        <v>181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/>
      <c r="L192" s="97"/>
      <c r="M192" s="97"/>
      <c r="N192" s="97"/>
    </row>
    <row r="193" spans="5:14" x14ac:dyDescent="0.25">
      <c r="E193" s="94" t="s">
        <v>182</v>
      </c>
      <c r="F193" s="97">
        <v>4291397.5199999996</v>
      </c>
      <c r="G193" s="97">
        <v>2581769.7000000002</v>
      </c>
      <c r="H193" s="97">
        <v>2899250.12</v>
      </c>
      <c r="I193" s="97">
        <v>2148323.0699999998</v>
      </c>
      <c r="J193" s="97">
        <v>2107915.21</v>
      </c>
      <c r="K193" s="97">
        <v>795888.56</v>
      </c>
      <c r="L193" s="97"/>
      <c r="M193" s="97"/>
      <c r="N193" s="97"/>
    </row>
    <row r="194" spans="5:14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/>
      <c r="L194" s="97"/>
      <c r="M194" s="97"/>
      <c r="N194" s="97"/>
    </row>
    <row r="195" spans="5:14" x14ac:dyDescent="0.25">
      <c r="E195" s="94" t="s">
        <v>184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/>
      <c r="L195" s="97"/>
      <c r="M195" s="97"/>
      <c r="N195" s="97"/>
    </row>
    <row r="196" spans="5:14" x14ac:dyDescent="0.25">
      <c r="E196" s="94" t="s">
        <v>185</v>
      </c>
      <c r="F196" s="97">
        <v>0</v>
      </c>
      <c r="G196" s="97">
        <v>0</v>
      </c>
      <c r="H196" s="97">
        <v>0</v>
      </c>
      <c r="I196" s="97">
        <v>0</v>
      </c>
      <c r="J196" s="97">
        <v>0</v>
      </c>
      <c r="K196" s="97"/>
      <c r="L196" s="97"/>
      <c r="M196" s="97"/>
      <c r="N196" s="97"/>
    </row>
    <row r="197" spans="5:14" x14ac:dyDescent="0.25">
      <c r="E197" s="94" t="s">
        <v>186</v>
      </c>
      <c r="F197" s="97">
        <v>0</v>
      </c>
      <c r="G197" s="97">
        <v>0</v>
      </c>
      <c r="H197" s="97">
        <v>0</v>
      </c>
      <c r="I197" s="97">
        <v>0</v>
      </c>
      <c r="J197" s="97">
        <v>0</v>
      </c>
      <c r="K197" s="97"/>
      <c r="L197" s="97"/>
      <c r="M197" s="97"/>
      <c r="N197" s="97"/>
    </row>
    <row r="198" spans="5:14" x14ac:dyDescent="0.25">
      <c r="E198" s="94" t="s">
        <v>187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/>
      <c r="L198" s="97"/>
      <c r="M198" s="97"/>
      <c r="N198" s="97"/>
    </row>
    <row r="199" spans="5:14" x14ac:dyDescent="0.25">
      <c r="E199" s="94" t="s">
        <v>188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/>
      <c r="L199" s="97"/>
      <c r="M199" s="97"/>
      <c r="N199" s="97"/>
    </row>
    <row r="200" spans="5:14" x14ac:dyDescent="0.25">
      <c r="E200" s="94" t="s">
        <v>186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/>
      <c r="L200" s="97"/>
      <c r="M200" s="97"/>
      <c r="N200" s="97"/>
    </row>
    <row r="201" spans="5:14" x14ac:dyDescent="0.25">
      <c r="E201" s="94" t="s">
        <v>187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/>
      <c r="L201" s="97"/>
      <c r="M201" s="97"/>
      <c r="N201" s="97"/>
    </row>
    <row r="202" spans="5:14" x14ac:dyDescent="0.25">
      <c r="E202" s="94" t="s">
        <v>189</v>
      </c>
      <c r="F202" s="97">
        <v>811753.49</v>
      </c>
      <c r="G202" s="97">
        <v>1272481.3899999999</v>
      </c>
      <c r="H202" s="97">
        <v>590162.6</v>
      </c>
      <c r="I202" s="97">
        <v>792581.73</v>
      </c>
      <c r="J202" s="97">
        <v>750000</v>
      </c>
      <c r="K202" s="97">
        <v>12003.03</v>
      </c>
      <c r="L202" s="97"/>
      <c r="M202" s="97"/>
      <c r="N202" s="97"/>
    </row>
    <row r="203" spans="5:14" x14ac:dyDescent="0.25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/>
      <c r="L203" s="97"/>
      <c r="M203" s="97"/>
      <c r="N203" s="97"/>
    </row>
    <row r="204" spans="5:14" x14ac:dyDescent="0.25">
      <c r="E204" s="94" t="s">
        <v>191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/>
      <c r="L204" s="97"/>
      <c r="M204" s="97"/>
      <c r="N204" s="97"/>
    </row>
    <row r="205" spans="5:14" x14ac:dyDescent="0.25">
      <c r="E205" s="94" t="s">
        <v>192</v>
      </c>
      <c r="F205" s="97">
        <v>811753.49</v>
      </c>
      <c r="G205" s="97">
        <v>1272481.3899999999</v>
      </c>
      <c r="H205" s="97">
        <v>590162.6</v>
      </c>
      <c r="I205" s="97">
        <v>792581.73</v>
      </c>
      <c r="J205" s="97">
        <v>750000</v>
      </c>
      <c r="K205" s="97">
        <v>12003.03</v>
      </c>
      <c r="L205" s="97"/>
      <c r="M205" s="97"/>
      <c r="N205" s="97"/>
    </row>
    <row r="206" spans="5:14" x14ac:dyDescent="0.25">
      <c r="E206" s="94" t="s">
        <v>193</v>
      </c>
      <c r="F206" s="97">
        <v>811753.49</v>
      </c>
      <c r="G206" s="97">
        <v>1272481.3899999999</v>
      </c>
      <c r="H206" s="97">
        <v>590162.6</v>
      </c>
      <c r="I206" s="97">
        <v>792581.73</v>
      </c>
      <c r="J206" s="97">
        <v>750000</v>
      </c>
      <c r="K206" s="97">
        <v>12003.03</v>
      </c>
      <c r="L206" s="97"/>
      <c r="M206" s="97"/>
      <c r="N206" s="97"/>
    </row>
    <row r="207" spans="5:14" x14ac:dyDescent="0.25">
      <c r="E207" s="94" t="s">
        <v>194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/>
      <c r="L207" s="97"/>
      <c r="M207" s="97"/>
      <c r="N207" s="97"/>
    </row>
    <row r="208" spans="5:14" x14ac:dyDescent="0.25">
      <c r="E208" s="94" t="s">
        <v>195</v>
      </c>
      <c r="F208" s="97">
        <v>0</v>
      </c>
      <c r="G208" s="97">
        <v>0</v>
      </c>
      <c r="H208" s="97">
        <v>0</v>
      </c>
      <c r="I208" s="97">
        <v>0</v>
      </c>
      <c r="J208" s="97">
        <v>0</v>
      </c>
      <c r="K208" s="97"/>
      <c r="L208" s="97"/>
      <c r="M208" s="97"/>
      <c r="N208" s="97"/>
    </row>
    <row r="209" spans="5:14" x14ac:dyDescent="0.25">
      <c r="E209" s="94" t="s">
        <v>196</v>
      </c>
      <c r="F209" s="97">
        <v>0</v>
      </c>
      <c r="G209" s="97">
        <v>0</v>
      </c>
      <c r="H209" s="97">
        <v>0</v>
      </c>
      <c r="I209" s="97">
        <v>0</v>
      </c>
      <c r="J209" s="97">
        <v>0</v>
      </c>
      <c r="K209" s="97"/>
      <c r="L209" s="97"/>
      <c r="M209" s="97"/>
      <c r="N209" s="97"/>
    </row>
    <row r="210" spans="5:14" x14ac:dyDescent="0.25">
      <c r="E210" s="94" t="s">
        <v>197</v>
      </c>
      <c r="F210" s="97">
        <v>0</v>
      </c>
      <c r="G210" s="97">
        <v>0</v>
      </c>
      <c r="H210" s="97">
        <v>0</v>
      </c>
      <c r="I210" s="97">
        <v>0</v>
      </c>
      <c r="J210" s="97">
        <v>0</v>
      </c>
      <c r="K210" s="97"/>
      <c r="L210" s="97"/>
      <c r="M210" s="97"/>
      <c r="N210" s="97"/>
    </row>
    <row r="211" spans="5:14" x14ac:dyDescent="0.25">
      <c r="E211" s="94" t="s">
        <v>198</v>
      </c>
      <c r="F211" s="97">
        <v>249288.16</v>
      </c>
      <c r="G211" s="97">
        <v>247750.99</v>
      </c>
      <c r="H211" s="97">
        <v>435078.46</v>
      </c>
      <c r="I211" s="97">
        <v>327817.46999999997</v>
      </c>
      <c r="J211" s="97">
        <v>167483.72</v>
      </c>
      <c r="K211" s="97">
        <v>237419.19</v>
      </c>
      <c r="L211" s="97"/>
      <c r="M211" s="97"/>
      <c r="N211" s="97"/>
    </row>
    <row r="212" spans="5:14" x14ac:dyDescent="0.25">
      <c r="E212" s="94" t="s">
        <v>190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/>
      <c r="L212" s="97"/>
      <c r="M212" s="97"/>
      <c r="N212" s="97"/>
    </row>
    <row r="213" spans="5:14" x14ac:dyDescent="0.25">
      <c r="E213" s="94" t="s">
        <v>200</v>
      </c>
      <c r="F213" s="97"/>
      <c r="G213" s="97"/>
      <c r="H213" s="97"/>
      <c r="I213" s="97"/>
      <c r="J213" s="97"/>
      <c r="K213" s="97"/>
      <c r="L213" s="97"/>
      <c r="M213" s="97"/>
      <c r="N213" s="97"/>
    </row>
    <row r="214" spans="5:14" x14ac:dyDescent="0.25">
      <c r="E214" s="94" t="s">
        <v>146</v>
      </c>
      <c r="F214" s="97"/>
      <c r="G214" s="97"/>
      <c r="H214" s="97"/>
      <c r="I214" s="97"/>
      <c r="J214" s="97"/>
      <c r="K214" s="97"/>
      <c r="L214" s="97"/>
      <c r="M214" s="97"/>
      <c r="N214" s="97"/>
    </row>
    <row r="215" spans="5:14" x14ac:dyDescent="0.25">
      <c r="E215" s="94" t="s">
        <v>147</v>
      </c>
      <c r="F215" s="97"/>
      <c r="G215" s="97"/>
      <c r="H215" s="97"/>
      <c r="I215" s="97"/>
      <c r="J215" s="97"/>
      <c r="K215" s="97"/>
      <c r="L215" s="97"/>
      <c r="M215" s="97"/>
      <c r="N215" s="97"/>
    </row>
    <row r="216" spans="5:14" x14ac:dyDescent="0.25">
      <c r="E216" s="94" t="s">
        <v>148</v>
      </c>
      <c r="F216" s="97"/>
      <c r="G216" s="97"/>
      <c r="H216" s="97"/>
      <c r="I216" s="97"/>
      <c r="J216" s="97"/>
      <c r="K216" s="97"/>
      <c r="L216" s="97"/>
      <c r="M216" s="97"/>
      <c r="N216" s="97"/>
    </row>
    <row r="217" spans="5:14" x14ac:dyDescent="0.25">
      <c r="E217" s="94" t="s">
        <v>199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/>
      <c r="L217" s="97"/>
      <c r="M217" s="97"/>
      <c r="N217" s="97"/>
    </row>
    <row r="218" spans="5:14" x14ac:dyDescent="0.25">
      <c r="E218" s="94" t="s">
        <v>200</v>
      </c>
      <c r="F218" s="97">
        <v>0</v>
      </c>
      <c r="G218" s="97">
        <v>0</v>
      </c>
      <c r="H218" s="97">
        <v>0</v>
      </c>
      <c r="I218" s="97">
        <v>0</v>
      </c>
      <c r="J218" s="97">
        <v>0</v>
      </c>
      <c r="K218" s="97"/>
      <c r="L218" s="97"/>
      <c r="M218" s="97"/>
      <c r="N218" s="97"/>
    </row>
    <row r="219" spans="5:14" x14ac:dyDescent="0.25">
      <c r="E219" s="94" t="s">
        <v>146</v>
      </c>
      <c r="F219" s="97">
        <v>0</v>
      </c>
      <c r="G219" s="97">
        <v>0</v>
      </c>
      <c r="H219" s="97">
        <v>0</v>
      </c>
      <c r="I219" s="97">
        <v>0</v>
      </c>
      <c r="J219" s="97">
        <v>0</v>
      </c>
      <c r="K219" s="97"/>
      <c r="L219" s="97"/>
      <c r="M219" s="97"/>
      <c r="N219" s="97"/>
    </row>
    <row r="220" spans="5:14" x14ac:dyDescent="0.25">
      <c r="E220" s="94" t="s">
        <v>147</v>
      </c>
      <c r="F220" s="97">
        <v>0</v>
      </c>
      <c r="G220" s="97">
        <v>0</v>
      </c>
      <c r="H220" s="97">
        <v>0</v>
      </c>
      <c r="I220" s="97">
        <v>0</v>
      </c>
      <c r="J220" s="97">
        <v>0</v>
      </c>
      <c r="K220" s="97"/>
      <c r="L220" s="97"/>
      <c r="M220" s="97"/>
      <c r="N220" s="97"/>
    </row>
    <row r="221" spans="5:14" x14ac:dyDescent="0.25">
      <c r="E221" s="94" t="s">
        <v>148</v>
      </c>
      <c r="F221" s="97">
        <v>0</v>
      </c>
      <c r="G221" s="97">
        <v>0</v>
      </c>
      <c r="H221" s="97">
        <v>0</v>
      </c>
      <c r="I221" s="97">
        <v>0</v>
      </c>
      <c r="J221" s="97">
        <v>0</v>
      </c>
      <c r="K221" s="97"/>
      <c r="L221" s="97"/>
      <c r="M221" s="97"/>
      <c r="N221" s="97"/>
    </row>
    <row r="222" spans="5:14" x14ac:dyDescent="0.25">
      <c r="E222" s="94" t="s">
        <v>192</v>
      </c>
      <c r="F222" s="97">
        <v>249288.16</v>
      </c>
      <c r="G222" s="97">
        <v>247750.99</v>
      </c>
      <c r="H222" s="97">
        <v>435078.46</v>
      </c>
      <c r="I222" s="97">
        <v>327817.46999999997</v>
      </c>
      <c r="J222" s="97">
        <v>167483.72</v>
      </c>
      <c r="K222" s="97">
        <v>237419.19</v>
      </c>
      <c r="L222" s="97"/>
      <c r="M222" s="97"/>
      <c r="N222" s="97"/>
    </row>
    <row r="223" spans="5:14" x14ac:dyDescent="0.25">
      <c r="E223" s="94" t="s">
        <v>193</v>
      </c>
      <c r="F223" s="97">
        <v>0</v>
      </c>
      <c r="G223" s="97">
        <v>15082.56</v>
      </c>
      <c r="H223" s="97">
        <v>75255.63</v>
      </c>
      <c r="I223" s="97">
        <v>48000</v>
      </c>
      <c r="J223" s="97">
        <v>0</v>
      </c>
      <c r="K223" s="97"/>
      <c r="L223" s="97"/>
      <c r="M223" s="97"/>
      <c r="N223" s="97"/>
    </row>
    <row r="224" spans="5:14" x14ac:dyDescent="0.25">
      <c r="E224" s="94" t="s">
        <v>194</v>
      </c>
      <c r="F224" s="97">
        <v>0</v>
      </c>
      <c r="G224" s="97">
        <v>0</v>
      </c>
      <c r="H224" s="97">
        <v>0</v>
      </c>
      <c r="I224" s="97">
        <v>0</v>
      </c>
      <c r="J224" s="97">
        <v>0</v>
      </c>
      <c r="K224" s="97"/>
      <c r="L224" s="97"/>
      <c r="M224" s="97"/>
      <c r="N224" s="97"/>
    </row>
    <row r="225" spans="5:14" x14ac:dyDescent="0.25">
      <c r="E225" s="94" t="s">
        <v>195</v>
      </c>
      <c r="F225" s="97">
        <v>0</v>
      </c>
      <c r="G225" s="97">
        <v>0</v>
      </c>
      <c r="H225" s="97">
        <v>0</v>
      </c>
      <c r="I225" s="97">
        <v>0</v>
      </c>
      <c r="J225" s="97">
        <v>0</v>
      </c>
      <c r="K225" s="97"/>
      <c r="L225" s="97"/>
      <c r="M225" s="97"/>
      <c r="N225" s="97"/>
    </row>
    <row r="226" spans="5:14" x14ac:dyDescent="0.25">
      <c r="E226" s="94" t="s">
        <v>201</v>
      </c>
      <c r="F226" s="97">
        <v>167514.38</v>
      </c>
      <c r="G226" s="97">
        <v>168776.95</v>
      </c>
      <c r="H226" s="97">
        <v>106903.85</v>
      </c>
      <c r="I226" s="97">
        <v>95510.42</v>
      </c>
      <c r="J226" s="97">
        <v>98597.29</v>
      </c>
      <c r="K226" s="97">
        <v>138148.57999999999</v>
      </c>
      <c r="L226" s="97"/>
      <c r="M226" s="97"/>
      <c r="N226" s="97"/>
    </row>
    <row r="227" spans="5:14" x14ac:dyDescent="0.25">
      <c r="E227" s="94" t="s">
        <v>146</v>
      </c>
      <c r="F227" s="97">
        <v>167514.38</v>
      </c>
      <c r="G227" s="97">
        <v>168776.95</v>
      </c>
      <c r="H227" s="97">
        <v>106903.85</v>
      </c>
      <c r="I227" s="97">
        <v>95510.42</v>
      </c>
      <c r="J227" s="97">
        <v>98597.29</v>
      </c>
      <c r="K227" s="97">
        <v>138148.57999999999</v>
      </c>
      <c r="L227" s="97"/>
      <c r="M227" s="97"/>
      <c r="N227" s="97"/>
    </row>
    <row r="228" spans="5:14" x14ac:dyDescent="0.25">
      <c r="E228" s="94" t="s">
        <v>147</v>
      </c>
      <c r="F228" s="97">
        <v>0</v>
      </c>
      <c r="G228" s="97">
        <v>0</v>
      </c>
      <c r="H228" s="97">
        <v>0</v>
      </c>
      <c r="I228" s="97">
        <v>0</v>
      </c>
      <c r="J228" s="97">
        <v>0</v>
      </c>
      <c r="K228" s="97"/>
      <c r="L228" s="97"/>
      <c r="M228" s="97"/>
      <c r="N228" s="97"/>
    </row>
    <row r="229" spans="5:14" x14ac:dyDescent="0.25">
      <c r="E229" s="94" t="s">
        <v>202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/>
      <c r="L229" s="97"/>
      <c r="M229" s="97"/>
      <c r="N229" s="97"/>
    </row>
    <row r="230" spans="5:14" x14ac:dyDescent="0.25">
      <c r="E230" s="94" t="s">
        <v>203</v>
      </c>
      <c r="F230" s="97">
        <v>0</v>
      </c>
      <c r="G230" s="97">
        <v>0</v>
      </c>
      <c r="H230" s="97">
        <v>0</v>
      </c>
      <c r="I230" s="97">
        <v>0</v>
      </c>
      <c r="J230" s="97">
        <v>0</v>
      </c>
      <c r="K230" s="97"/>
      <c r="L230" s="97"/>
      <c r="M230" s="97"/>
      <c r="N230" s="97"/>
    </row>
    <row r="231" spans="5:14" x14ac:dyDescent="0.25">
      <c r="E231" s="94" t="s">
        <v>204</v>
      </c>
      <c r="F231" s="97">
        <v>54490.55</v>
      </c>
      <c r="G231" s="97">
        <v>49163.66</v>
      </c>
      <c r="H231" s="97">
        <v>197979.93</v>
      </c>
      <c r="I231" s="97">
        <v>145318.74</v>
      </c>
      <c r="J231" s="97">
        <v>63588.88</v>
      </c>
      <c r="K231" s="97">
        <v>51362.69</v>
      </c>
      <c r="L231" s="97"/>
      <c r="M231" s="97"/>
      <c r="N231" s="97"/>
    </row>
    <row r="232" spans="5:14" x14ac:dyDescent="0.25">
      <c r="E232" s="94" t="s">
        <v>205</v>
      </c>
      <c r="F232" s="97">
        <v>0</v>
      </c>
      <c r="G232" s="97">
        <v>6919</v>
      </c>
      <c r="H232" s="97">
        <v>0</v>
      </c>
      <c r="I232" s="97">
        <v>450</v>
      </c>
      <c r="J232" s="97">
        <v>0</v>
      </c>
      <c r="K232" s="97">
        <v>36855.35</v>
      </c>
      <c r="L232" s="97"/>
      <c r="M232" s="97"/>
      <c r="N232" s="97"/>
    </row>
    <row r="233" spans="5:14" x14ac:dyDescent="0.25">
      <c r="E233" s="94" t="s">
        <v>206</v>
      </c>
      <c r="F233" s="97">
        <v>27283.23</v>
      </c>
      <c r="G233" s="97">
        <v>7808.82</v>
      </c>
      <c r="H233" s="97">
        <v>54939.05</v>
      </c>
      <c r="I233" s="97">
        <v>38538.31</v>
      </c>
      <c r="J233" s="97">
        <v>5297.55</v>
      </c>
      <c r="K233" s="97">
        <v>11052.57</v>
      </c>
      <c r="L233" s="97"/>
      <c r="M233" s="97"/>
      <c r="N233" s="97"/>
    </row>
    <row r="234" spans="5:14" x14ac:dyDescent="0.25">
      <c r="E234" s="94" t="s">
        <v>207</v>
      </c>
      <c r="F234" s="97">
        <v>0</v>
      </c>
      <c r="G234" s="97">
        <v>0</v>
      </c>
      <c r="H234" s="97">
        <v>0</v>
      </c>
      <c r="I234" s="97">
        <v>0</v>
      </c>
      <c r="J234" s="97">
        <v>0</v>
      </c>
      <c r="K234" s="97"/>
      <c r="L234" s="97"/>
      <c r="M234" s="97"/>
      <c r="N234" s="97"/>
    </row>
    <row r="235" spans="5:14" x14ac:dyDescent="0.25">
      <c r="E235" s="94" t="s">
        <v>208</v>
      </c>
      <c r="F235" s="97">
        <v>3230355.87</v>
      </c>
      <c r="G235" s="97">
        <v>1061537.32</v>
      </c>
      <c r="H235" s="97">
        <v>1874009.06</v>
      </c>
      <c r="I235" s="97">
        <v>1027923.87</v>
      </c>
      <c r="J235" s="97">
        <v>1190431.49</v>
      </c>
      <c r="K235" s="97">
        <v>546466.34</v>
      </c>
      <c r="L235" s="97"/>
      <c r="M235" s="97"/>
      <c r="N235" s="97"/>
    </row>
    <row r="236" spans="5:14" x14ac:dyDescent="0.25">
      <c r="E236" s="94" t="s">
        <v>209</v>
      </c>
      <c r="F236" s="97">
        <v>0</v>
      </c>
      <c r="G236" s="97">
        <v>0</v>
      </c>
      <c r="H236" s="97">
        <v>0</v>
      </c>
      <c r="I236" s="97">
        <v>0</v>
      </c>
      <c r="J236" s="97">
        <v>0</v>
      </c>
      <c r="K236" s="97"/>
      <c r="L236" s="97"/>
      <c r="M236" s="97"/>
      <c r="N236" s="97"/>
    </row>
    <row r="237" spans="5:14" x14ac:dyDescent="0.25">
      <c r="E237" s="94" t="s">
        <v>135</v>
      </c>
      <c r="F237" s="97">
        <v>0</v>
      </c>
      <c r="G237" s="97">
        <v>0</v>
      </c>
      <c r="H237" s="97">
        <v>1874009.06</v>
      </c>
      <c r="I237" s="97">
        <v>1027923.87</v>
      </c>
      <c r="J237" s="97">
        <v>1190431.49</v>
      </c>
      <c r="K237" s="97">
        <v>546466.34</v>
      </c>
      <c r="L237" s="97"/>
      <c r="M237" s="97"/>
      <c r="N237" s="97"/>
    </row>
    <row r="238" spans="5:14" x14ac:dyDescent="0.25">
      <c r="E238" s="94" t="s">
        <v>210</v>
      </c>
      <c r="F238" s="97">
        <v>0</v>
      </c>
      <c r="G238" s="97">
        <v>0</v>
      </c>
      <c r="H238" s="97">
        <v>0</v>
      </c>
      <c r="I238" s="97">
        <v>1027923.87</v>
      </c>
      <c r="J238" s="97">
        <v>1190431.49</v>
      </c>
      <c r="K238" s="97">
        <v>546466.34</v>
      </c>
      <c r="L238" s="97"/>
      <c r="M238" s="97"/>
      <c r="N238" s="97"/>
    </row>
    <row r="239" spans="5:14" x14ac:dyDescent="0.25">
      <c r="E239" s="94" t="s">
        <v>211</v>
      </c>
      <c r="F239" s="97">
        <v>0</v>
      </c>
      <c r="G239" s="97">
        <v>0</v>
      </c>
      <c r="H239" s="97">
        <v>1874009.06</v>
      </c>
      <c r="I239" s="97">
        <v>0</v>
      </c>
      <c r="J239" s="97">
        <v>0</v>
      </c>
      <c r="K239" s="97"/>
      <c r="L239" s="97"/>
      <c r="M239" s="97"/>
      <c r="N239" s="97"/>
    </row>
    <row r="240" spans="5:14" x14ac:dyDescent="0.25">
      <c r="E240" s="94" t="s">
        <v>212</v>
      </c>
      <c r="F240" s="97">
        <v>9971354.4700000007</v>
      </c>
      <c r="G240" s="97">
        <v>7209596.6699999999</v>
      </c>
      <c r="H240" s="97">
        <v>6375633.9699999997</v>
      </c>
      <c r="I240" s="97">
        <v>4166722.06</v>
      </c>
      <c r="J240" s="97">
        <v>3347124.27</v>
      </c>
      <c r="K240" s="97">
        <v>1545120.92</v>
      </c>
      <c r="L240" s="97"/>
      <c r="M240" s="97"/>
      <c r="N240" s="97"/>
    </row>
    <row r="241" spans="5:14" x14ac:dyDescent="0.25">
      <c r="E241" s="141" t="s">
        <v>213</v>
      </c>
      <c r="F241" s="97">
        <v>5853407.0099999998</v>
      </c>
      <c r="G241" s="97">
        <v>5352714.17</v>
      </c>
      <c r="H241" s="97">
        <v>4107588.12</v>
      </c>
      <c r="I241" s="97">
        <v>3215746.12</v>
      </c>
      <c r="J241" s="97">
        <v>3014580.1</v>
      </c>
      <c r="K241" s="97">
        <v>2489641.52</v>
      </c>
      <c r="L241" s="97"/>
      <c r="M241" s="97"/>
      <c r="N241" s="97"/>
    </row>
    <row r="242" spans="5:14" x14ac:dyDescent="0.25">
      <c r="E242" s="94" t="s">
        <v>214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/>
      <c r="L242" s="97"/>
      <c r="M242" s="97"/>
      <c r="N242" s="97"/>
    </row>
    <row r="243" spans="5:14" x14ac:dyDescent="0.25">
      <c r="E243" s="94" t="s">
        <v>215</v>
      </c>
      <c r="F243" s="97">
        <v>5853407.0099999998</v>
      </c>
      <c r="G243" s="97">
        <v>5352714.17</v>
      </c>
      <c r="H243" s="97">
        <v>4107588.12</v>
      </c>
      <c r="I243" s="97">
        <v>3215746.12</v>
      </c>
      <c r="J243" s="97">
        <v>3014580.1</v>
      </c>
      <c r="K243" s="97"/>
      <c r="L243" s="97"/>
      <c r="M243" s="97"/>
      <c r="N243" s="97"/>
    </row>
    <row r="244" spans="5:14" x14ac:dyDescent="0.25">
      <c r="E244" s="94" t="s">
        <v>216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/>
      <c r="L244" s="97"/>
      <c r="M244" s="97"/>
      <c r="N244" s="97"/>
    </row>
    <row r="245" spans="5:14" x14ac:dyDescent="0.25">
      <c r="E245" s="94" t="s">
        <v>217</v>
      </c>
      <c r="F245" s="97">
        <v>0</v>
      </c>
      <c r="G245" s="97">
        <v>0</v>
      </c>
      <c r="H245" s="97">
        <v>0</v>
      </c>
      <c r="I245" s="97">
        <v>0</v>
      </c>
      <c r="J245" s="97">
        <v>0</v>
      </c>
      <c r="K245" s="97"/>
      <c r="L245" s="97"/>
      <c r="M245" s="97"/>
      <c r="N245" s="97"/>
    </row>
    <row r="246" spans="5:14" x14ac:dyDescent="0.25">
      <c r="E246" s="94" t="s">
        <v>218</v>
      </c>
      <c r="F246" s="97">
        <v>0</v>
      </c>
      <c r="G246" s="97">
        <v>0</v>
      </c>
      <c r="H246" s="97">
        <v>0</v>
      </c>
      <c r="I246" s="97">
        <v>0</v>
      </c>
      <c r="J246" s="97">
        <v>0</v>
      </c>
      <c r="K246" s="97"/>
      <c r="L246" s="97"/>
      <c r="M246" s="97"/>
      <c r="N246" s="97"/>
    </row>
    <row r="247" spans="5:14" x14ac:dyDescent="0.25">
      <c r="E247" s="94" t="s">
        <v>219</v>
      </c>
      <c r="F247" s="97">
        <v>8133044.0700000003</v>
      </c>
      <c r="G247" s="97">
        <v>8454510.4399999995</v>
      </c>
      <c r="H247" s="97">
        <v>7802385.54</v>
      </c>
      <c r="I247" s="97">
        <v>6232175.7699999996</v>
      </c>
      <c r="J247" s="97">
        <v>6208048.5300000003</v>
      </c>
      <c r="K247" s="97">
        <v>4860514.99</v>
      </c>
      <c r="L247" s="97"/>
      <c r="M247" s="97"/>
      <c r="N247" s="97"/>
    </row>
    <row r="248" spans="5:14" x14ac:dyDescent="0.25">
      <c r="E248" s="94" t="s">
        <v>220</v>
      </c>
      <c r="F248" s="97">
        <v>305954.89</v>
      </c>
      <c r="G248" s="97">
        <v>383577.25</v>
      </c>
      <c r="H248" s="97">
        <v>240350.31</v>
      </c>
      <c r="I248" s="97">
        <v>158180.35</v>
      </c>
      <c r="J248" s="97">
        <v>164449.74</v>
      </c>
      <c r="K248" s="97">
        <v>120669.9</v>
      </c>
      <c r="L248" s="97"/>
      <c r="M248" s="97"/>
      <c r="N248" s="97"/>
    </row>
    <row r="249" spans="5:14" x14ac:dyDescent="0.25">
      <c r="E249" s="94" t="s">
        <v>221</v>
      </c>
      <c r="F249" s="97">
        <v>2181356.27</v>
      </c>
      <c r="G249" s="97">
        <v>2255616.67</v>
      </c>
      <c r="H249" s="97">
        <v>1480095.05</v>
      </c>
      <c r="I249" s="97">
        <v>1459528.96</v>
      </c>
      <c r="J249" s="97">
        <v>1290933.27</v>
      </c>
      <c r="K249" s="97">
        <v>1267516.82</v>
      </c>
      <c r="L249" s="97"/>
      <c r="M249" s="97"/>
      <c r="N249" s="97"/>
    </row>
    <row r="250" spans="5:14" x14ac:dyDescent="0.25">
      <c r="E250" s="94" t="s">
        <v>222</v>
      </c>
      <c r="F250" s="97">
        <v>1370476.58</v>
      </c>
      <c r="G250" s="97">
        <v>1649141.46</v>
      </c>
      <c r="H250" s="97">
        <v>1827334.84</v>
      </c>
      <c r="I250" s="97">
        <v>1312725.92</v>
      </c>
      <c r="J250" s="97">
        <v>1300899.46</v>
      </c>
      <c r="K250" s="97">
        <v>1038452.33</v>
      </c>
      <c r="L250" s="97"/>
      <c r="M250" s="97"/>
      <c r="N250" s="97"/>
    </row>
    <row r="251" spans="5:14" x14ac:dyDescent="0.25">
      <c r="E251" s="94" t="s">
        <v>223</v>
      </c>
      <c r="F251" s="97">
        <v>8299.83</v>
      </c>
      <c r="G251" s="97">
        <v>22407.439999999999</v>
      </c>
      <c r="H251" s="97">
        <v>43921.8</v>
      </c>
      <c r="I251" s="97">
        <v>9113.65</v>
      </c>
      <c r="J251" s="97">
        <v>8611.43</v>
      </c>
      <c r="K251" s="97">
        <v>8450.7800000000007</v>
      </c>
      <c r="L251" s="97"/>
      <c r="M251" s="97"/>
      <c r="N251" s="97"/>
    </row>
    <row r="252" spans="5:14" x14ac:dyDescent="0.25">
      <c r="E252" s="94" t="s">
        <v>224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/>
      <c r="L252" s="97"/>
      <c r="M252" s="97"/>
      <c r="N252" s="97"/>
    </row>
    <row r="253" spans="5:14" x14ac:dyDescent="0.25">
      <c r="E253" s="94" t="s">
        <v>225</v>
      </c>
      <c r="F253" s="97">
        <v>3509131.6</v>
      </c>
      <c r="G253" s="97">
        <v>3350842.2</v>
      </c>
      <c r="H253" s="97">
        <v>3431956.39</v>
      </c>
      <c r="I253" s="97">
        <v>2674292.41</v>
      </c>
      <c r="J253" s="97">
        <v>2783346.23</v>
      </c>
      <c r="K253" s="97">
        <v>2017951.44</v>
      </c>
      <c r="L253" s="97"/>
      <c r="M253" s="97"/>
      <c r="N253" s="97"/>
    </row>
    <row r="254" spans="5:14" x14ac:dyDescent="0.25">
      <c r="E254" s="94" t="s">
        <v>226</v>
      </c>
      <c r="F254" s="97">
        <v>625588.68000000005</v>
      </c>
      <c r="G254" s="97">
        <v>640649.44999999995</v>
      </c>
      <c r="H254" s="97">
        <v>614940.66</v>
      </c>
      <c r="I254" s="97">
        <v>454084.78</v>
      </c>
      <c r="J254" s="97">
        <v>501303.73</v>
      </c>
      <c r="K254" s="97">
        <v>346914.58</v>
      </c>
      <c r="L254" s="97"/>
      <c r="M254" s="97"/>
      <c r="N254" s="97"/>
    </row>
    <row r="255" spans="5:14" x14ac:dyDescent="0.25">
      <c r="E255" s="94" t="s">
        <v>227</v>
      </c>
      <c r="F255" s="97">
        <v>0</v>
      </c>
      <c r="G255" s="97">
        <v>0</v>
      </c>
      <c r="H255" s="97">
        <v>0</v>
      </c>
      <c r="I255" s="97">
        <v>0</v>
      </c>
      <c r="J255" s="97">
        <v>0</v>
      </c>
      <c r="K255" s="97">
        <v>97882.66</v>
      </c>
      <c r="L255" s="97"/>
      <c r="M255" s="97"/>
      <c r="N255" s="97"/>
    </row>
    <row r="256" spans="5:14" x14ac:dyDescent="0.25">
      <c r="E256" s="94" t="s">
        <v>228</v>
      </c>
      <c r="F256" s="97">
        <v>132236.22</v>
      </c>
      <c r="G256" s="97">
        <v>152275.97</v>
      </c>
      <c r="H256" s="97">
        <v>163786.49</v>
      </c>
      <c r="I256" s="97">
        <v>164249.70000000001</v>
      </c>
      <c r="J256" s="97">
        <v>158504.67000000001</v>
      </c>
      <c r="K256" s="97">
        <v>60559.14</v>
      </c>
      <c r="L256" s="97"/>
      <c r="M256" s="97"/>
      <c r="N256" s="97"/>
    </row>
    <row r="257" spans="5:14" x14ac:dyDescent="0.25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  <c r="M257" s="97"/>
      <c r="N257" s="97"/>
    </row>
    <row r="258" spans="5:14" x14ac:dyDescent="0.25">
      <c r="E258" s="104" t="s">
        <v>230</v>
      </c>
      <c r="F258" s="97">
        <v>-2279637.06</v>
      </c>
      <c r="G258" s="97">
        <v>-3101796.27</v>
      </c>
      <c r="H258" s="97">
        <v>-3694797.42</v>
      </c>
      <c r="I258" s="97">
        <v>-3016429.65</v>
      </c>
      <c r="J258" s="97">
        <v>-3193468.43</v>
      </c>
      <c r="K258" s="97">
        <v>-2370873.4700000002</v>
      </c>
      <c r="L258" s="97"/>
      <c r="M258" s="97"/>
      <c r="N258" s="97"/>
    </row>
    <row r="259" spans="5:14" x14ac:dyDescent="0.25">
      <c r="E259" s="94" t="s">
        <v>231</v>
      </c>
      <c r="F259" s="97">
        <v>3616293.62</v>
      </c>
      <c r="G259" s="97">
        <v>4710836.2300000004</v>
      </c>
      <c r="H259" s="97">
        <v>5353991.46</v>
      </c>
      <c r="I259" s="97">
        <v>3958309.64</v>
      </c>
      <c r="J259" s="97">
        <v>3777519.62</v>
      </c>
      <c r="K259" s="97">
        <v>2711661.7</v>
      </c>
      <c r="L259" s="97"/>
      <c r="M259" s="97"/>
      <c r="N259" s="97"/>
    </row>
    <row r="260" spans="5:14" x14ac:dyDescent="0.25">
      <c r="E260" s="94" t="s">
        <v>232</v>
      </c>
      <c r="F260" s="97">
        <v>0</v>
      </c>
      <c r="G260" s="97">
        <v>22500</v>
      </c>
      <c r="H260" s="97">
        <v>0</v>
      </c>
      <c r="I260" s="97">
        <v>40967.480000000003</v>
      </c>
      <c r="J260" s="97">
        <v>0</v>
      </c>
      <c r="K260" s="97"/>
      <c r="L260" s="97"/>
      <c r="M260" s="97"/>
      <c r="N260" s="97"/>
    </row>
    <row r="261" spans="5:14" x14ac:dyDescent="0.25">
      <c r="E261" s="142" t="s">
        <v>233</v>
      </c>
      <c r="F261" s="97">
        <v>2949123.88</v>
      </c>
      <c r="G261" s="97">
        <v>4037653.42</v>
      </c>
      <c r="H261" s="97">
        <v>4216660.12</v>
      </c>
      <c r="I261" s="97">
        <v>3090212.94</v>
      </c>
      <c r="J261" s="97">
        <v>3345560.26</v>
      </c>
      <c r="K261" s="97">
        <v>2667417</v>
      </c>
      <c r="L261" s="97"/>
      <c r="M261" s="97"/>
      <c r="N261" s="97"/>
    </row>
    <row r="262" spans="5:14" x14ac:dyDescent="0.25">
      <c r="E262" s="94" t="s">
        <v>234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/>
      <c r="L262" s="97"/>
      <c r="M262" s="97"/>
      <c r="N262" s="97"/>
    </row>
    <row r="263" spans="5:14" x14ac:dyDescent="0.25">
      <c r="E263" s="94" t="s">
        <v>235</v>
      </c>
      <c r="F263" s="97">
        <v>667169.74</v>
      </c>
      <c r="G263" s="97">
        <v>650682.81000000006</v>
      </c>
      <c r="H263" s="97">
        <v>1137331.3400000001</v>
      </c>
      <c r="I263" s="97">
        <v>827129.22</v>
      </c>
      <c r="J263" s="97">
        <v>431959.36</v>
      </c>
      <c r="K263" s="97">
        <v>44244.7</v>
      </c>
      <c r="L263" s="97"/>
      <c r="M263" s="97"/>
      <c r="N263" s="97"/>
    </row>
    <row r="264" spans="5:14" x14ac:dyDescent="0.25">
      <c r="E264" s="94" t="s">
        <v>236</v>
      </c>
      <c r="F264" s="97">
        <v>17834</v>
      </c>
      <c r="G264" s="97">
        <v>49738.23</v>
      </c>
      <c r="H264" s="97">
        <v>19146.330000000002</v>
      </c>
      <c r="I264" s="97">
        <v>86414.73</v>
      </c>
      <c r="J264" s="97">
        <v>20747.63</v>
      </c>
      <c r="K264" s="97">
        <v>21225.58</v>
      </c>
      <c r="L264" s="97"/>
      <c r="M264" s="97"/>
      <c r="N264" s="97"/>
    </row>
    <row r="265" spans="5:14" x14ac:dyDescent="0.25">
      <c r="E265" s="94" t="s">
        <v>237</v>
      </c>
      <c r="F265" s="97">
        <v>0</v>
      </c>
      <c r="G265" s="97">
        <v>0</v>
      </c>
      <c r="H265" s="97">
        <v>0</v>
      </c>
      <c r="I265" s="97">
        <v>59835.29</v>
      </c>
      <c r="J265" s="97">
        <v>0</v>
      </c>
      <c r="K265" s="97"/>
      <c r="L265" s="97"/>
      <c r="M265" s="97"/>
      <c r="N265" s="97"/>
    </row>
    <row r="266" spans="5:14" x14ac:dyDescent="0.25">
      <c r="E266" s="94" t="s">
        <v>238</v>
      </c>
      <c r="F266" s="97">
        <v>0</v>
      </c>
      <c r="G266" s="97">
        <v>0</v>
      </c>
      <c r="H266" s="97">
        <v>6355.56</v>
      </c>
      <c r="I266" s="97">
        <v>0</v>
      </c>
      <c r="J266" s="97">
        <v>0</v>
      </c>
      <c r="K266" s="97"/>
      <c r="L266" s="97"/>
      <c r="M266" s="97"/>
      <c r="N266" s="97"/>
    </row>
    <row r="267" spans="5:14" x14ac:dyDescent="0.25">
      <c r="E267" s="94" t="s">
        <v>239</v>
      </c>
      <c r="F267" s="97">
        <v>17834</v>
      </c>
      <c r="G267" s="97">
        <v>49738.23</v>
      </c>
      <c r="H267" s="97">
        <v>12790.77</v>
      </c>
      <c r="I267" s="97">
        <v>26579.439999999999</v>
      </c>
      <c r="J267" s="97">
        <v>20747.63</v>
      </c>
      <c r="K267" s="97">
        <v>21225.58</v>
      </c>
      <c r="L267" s="97"/>
      <c r="M267" s="97"/>
      <c r="N267" s="97"/>
    </row>
    <row r="268" spans="5:14" x14ac:dyDescent="0.25">
      <c r="E268" s="104" t="s">
        <v>240</v>
      </c>
      <c r="F268" s="97">
        <v>1318822.56</v>
      </c>
      <c r="G268" s="97">
        <v>1559301.73</v>
      </c>
      <c r="H268" s="97">
        <v>1640047.71</v>
      </c>
      <c r="I268" s="97">
        <v>855465.26</v>
      </c>
      <c r="J268" s="97">
        <v>563303.56000000006</v>
      </c>
      <c r="K268" s="97">
        <v>319562.65000000002</v>
      </c>
      <c r="L268" s="97"/>
      <c r="M268" s="97"/>
      <c r="N268" s="97"/>
    </row>
    <row r="269" spans="5:14" x14ac:dyDescent="0.25">
      <c r="E269" s="94" t="s">
        <v>241</v>
      </c>
      <c r="F269" s="97">
        <v>12649.95</v>
      </c>
      <c r="G269" s="97">
        <v>0</v>
      </c>
      <c r="H269" s="97">
        <v>60.33</v>
      </c>
      <c r="I269" s="97">
        <v>31.5</v>
      </c>
      <c r="J269" s="97">
        <v>6.59</v>
      </c>
      <c r="K269" s="97">
        <v>7.3</v>
      </c>
      <c r="L269" s="97"/>
      <c r="M269" s="97"/>
      <c r="N269" s="97"/>
    </row>
    <row r="270" spans="5:14" x14ac:dyDescent="0.25">
      <c r="E270" s="94" t="s">
        <v>242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/>
      <c r="L270" s="97"/>
      <c r="M270" s="97"/>
      <c r="N270" s="97"/>
    </row>
    <row r="271" spans="5:14" x14ac:dyDescent="0.25">
      <c r="E271" s="94" t="s">
        <v>243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/>
      <c r="L271" s="97"/>
      <c r="M271" s="97"/>
      <c r="N271" s="97"/>
    </row>
    <row r="272" spans="5:14" x14ac:dyDescent="0.25">
      <c r="E272" s="94" t="s">
        <v>244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/>
      <c r="L272" s="97"/>
      <c r="M272" s="97"/>
      <c r="N272" s="97"/>
    </row>
    <row r="273" spans="5:14" x14ac:dyDescent="0.25">
      <c r="E273" s="94" t="s">
        <v>245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/>
      <c r="L273" s="97"/>
      <c r="M273" s="97"/>
      <c r="N273" s="97"/>
    </row>
    <row r="274" spans="5:14" x14ac:dyDescent="0.25">
      <c r="E274" s="94" t="s">
        <v>244</v>
      </c>
      <c r="F274" s="97">
        <v>0</v>
      </c>
      <c r="G274" s="97">
        <v>0</v>
      </c>
      <c r="H274" s="97">
        <v>0</v>
      </c>
      <c r="I274" s="97">
        <v>0</v>
      </c>
      <c r="J274" s="97">
        <v>0</v>
      </c>
      <c r="K274" s="97"/>
      <c r="L274" s="97"/>
      <c r="M274" s="97"/>
      <c r="N274" s="97"/>
    </row>
    <row r="275" spans="5:14" x14ac:dyDescent="0.25">
      <c r="E275" s="94" t="s">
        <v>246</v>
      </c>
      <c r="F275" s="97">
        <v>12649.95</v>
      </c>
      <c r="G275" s="97">
        <v>0</v>
      </c>
      <c r="H275" s="97">
        <v>5.33</v>
      </c>
      <c r="I275" s="97">
        <v>0</v>
      </c>
      <c r="J275" s="97">
        <v>0</v>
      </c>
      <c r="K275" s="97">
        <v>0</v>
      </c>
      <c r="L275" s="97"/>
      <c r="M275" s="97"/>
      <c r="N275" s="97"/>
    </row>
    <row r="276" spans="5:14" x14ac:dyDescent="0.25">
      <c r="E276" s="94" t="s">
        <v>247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/>
      <c r="L276" s="97"/>
      <c r="M276" s="97"/>
      <c r="N276" s="97"/>
    </row>
    <row r="277" spans="5:14" x14ac:dyDescent="0.25">
      <c r="E277" s="94" t="s">
        <v>248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/>
      <c r="L277" s="97"/>
      <c r="M277" s="97"/>
      <c r="N277" s="97"/>
    </row>
    <row r="278" spans="5:14" x14ac:dyDescent="0.25">
      <c r="E278" s="94" t="s">
        <v>249</v>
      </c>
      <c r="F278" s="97">
        <v>0</v>
      </c>
      <c r="G278" s="97">
        <v>0</v>
      </c>
      <c r="H278" s="97">
        <v>0</v>
      </c>
      <c r="I278" s="97">
        <v>0</v>
      </c>
      <c r="J278" s="97">
        <v>0</v>
      </c>
      <c r="K278" s="97"/>
      <c r="L278" s="97"/>
      <c r="M278" s="97"/>
      <c r="N278" s="97"/>
    </row>
    <row r="279" spans="5:14" x14ac:dyDescent="0.25">
      <c r="E279" s="94" t="s">
        <v>250</v>
      </c>
      <c r="F279" s="97">
        <v>0</v>
      </c>
      <c r="G279" s="97">
        <v>0</v>
      </c>
      <c r="H279" s="97">
        <v>0</v>
      </c>
      <c r="I279" s="97">
        <v>0</v>
      </c>
      <c r="J279" s="97">
        <v>0</v>
      </c>
      <c r="K279" s="97"/>
      <c r="L279" s="97"/>
      <c r="M279" s="97"/>
      <c r="N279" s="97"/>
    </row>
    <row r="280" spans="5:14" x14ac:dyDescent="0.25">
      <c r="E280" s="94" t="s">
        <v>251</v>
      </c>
      <c r="F280" s="97">
        <v>0</v>
      </c>
      <c r="G280" s="97">
        <v>0</v>
      </c>
      <c r="H280" s="97">
        <v>55</v>
      </c>
      <c r="I280" s="97">
        <v>31.5</v>
      </c>
      <c r="J280" s="97">
        <v>6.59</v>
      </c>
      <c r="K280" s="97">
        <v>7.3</v>
      </c>
      <c r="L280" s="97"/>
      <c r="M280" s="97"/>
      <c r="N280" s="97"/>
    </row>
    <row r="281" spans="5:14" x14ac:dyDescent="0.25">
      <c r="E281" s="94" t="s">
        <v>252</v>
      </c>
      <c r="F281" s="97">
        <v>0</v>
      </c>
      <c r="G281" s="97">
        <v>213</v>
      </c>
      <c r="H281" s="97">
        <v>26.49</v>
      </c>
      <c r="I281" s="97">
        <v>9.61</v>
      </c>
      <c r="J281" s="97">
        <v>0</v>
      </c>
      <c r="K281" s="97">
        <v>1067.08</v>
      </c>
      <c r="L281" s="97"/>
      <c r="M281" s="97"/>
      <c r="N281" s="97"/>
    </row>
    <row r="282" spans="5:14" x14ac:dyDescent="0.25">
      <c r="E282" s="94" t="s">
        <v>253</v>
      </c>
      <c r="F282" s="97">
        <v>0</v>
      </c>
      <c r="G282" s="97">
        <v>0</v>
      </c>
      <c r="H282" s="97">
        <v>0</v>
      </c>
      <c r="I282" s="97">
        <v>9.61</v>
      </c>
      <c r="J282" s="97">
        <v>0</v>
      </c>
      <c r="K282" s="97">
        <v>624.64</v>
      </c>
      <c r="L282" s="97"/>
      <c r="M282" s="97"/>
      <c r="N282" s="97"/>
    </row>
    <row r="283" spans="5:14" x14ac:dyDescent="0.25">
      <c r="E283" s="94" t="s">
        <v>254</v>
      </c>
      <c r="F283" s="97">
        <v>0</v>
      </c>
      <c r="G283" s="97">
        <v>0</v>
      </c>
      <c r="H283" s="97">
        <v>0</v>
      </c>
      <c r="I283" s="97">
        <v>0</v>
      </c>
      <c r="J283" s="97">
        <v>0</v>
      </c>
      <c r="K283" s="97"/>
      <c r="L283" s="97"/>
      <c r="M283" s="97"/>
      <c r="N283" s="97"/>
    </row>
    <row r="284" spans="5:14" x14ac:dyDescent="0.25">
      <c r="E284" s="94" t="s">
        <v>255</v>
      </c>
      <c r="F284" s="97">
        <v>0</v>
      </c>
      <c r="G284" s="97">
        <v>0</v>
      </c>
      <c r="H284" s="97">
        <v>0</v>
      </c>
      <c r="I284" s="97">
        <v>0</v>
      </c>
      <c r="J284" s="97">
        <v>0</v>
      </c>
      <c r="K284" s="97"/>
      <c r="L284" s="97"/>
      <c r="M284" s="97"/>
      <c r="N284" s="97"/>
    </row>
    <row r="285" spans="5:14" x14ac:dyDescent="0.25">
      <c r="E285" s="94" t="s">
        <v>249</v>
      </c>
      <c r="F285" s="97">
        <v>0</v>
      </c>
      <c r="G285" s="97">
        <v>0</v>
      </c>
      <c r="H285" s="97">
        <v>0</v>
      </c>
      <c r="I285" s="97">
        <v>0</v>
      </c>
      <c r="J285" s="97">
        <v>0</v>
      </c>
      <c r="K285" s="97"/>
      <c r="L285" s="97"/>
      <c r="M285" s="97"/>
      <c r="N285" s="97"/>
    </row>
    <row r="286" spans="5:14" x14ac:dyDescent="0.25">
      <c r="E286" s="94" t="s">
        <v>256</v>
      </c>
      <c r="F286" s="97">
        <v>0</v>
      </c>
      <c r="G286" s="97">
        <v>0</v>
      </c>
      <c r="H286" s="97">
        <v>0</v>
      </c>
      <c r="I286" s="97">
        <v>0</v>
      </c>
      <c r="J286" s="97">
        <v>0</v>
      </c>
      <c r="K286" s="97"/>
      <c r="L286" s="97"/>
      <c r="M286" s="97"/>
      <c r="N286" s="97"/>
    </row>
    <row r="287" spans="5:14" x14ac:dyDescent="0.25">
      <c r="E287" s="94" t="s">
        <v>257</v>
      </c>
      <c r="F287" s="97">
        <v>0</v>
      </c>
      <c r="G287" s="97">
        <v>213</v>
      </c>
      <c r="H287" s="97">
        <v>26.49</v>
      </c>
      <c r="I287" s="97">
        <v>0</v>
      </c>
      <c r="J287" s="97">
        <v>0</v>
      </c>
      <c r="K287" s="97">
        <v>442.44</v>
      </c>
      <c r="L287" s="97"/>
      <c r="M287" s="97"/>
      <c r="N287" s="97"/>
    </row>
    <row r="288" spans="5:14" x14ac:dyDescent="0.25">
      <c r="E288" s="94" t="s">
        <v>270</v>
      </c>
      <c r="F288" s="97"/>
      <c r="G288" s="97"/>
      <c r="H288" s="97"/>
      <c r="I288" s="97"/>
      <c r="J288" s="97"/>
      <c r="K288" s="97"/>
      <c r="L288" s="97"/>
      <c r="M288" s="97"/>
      <c r="N288" s="97"/>
    </row>
    <row r="289" spans="5:14" x14ac:dyDescent="0.25">
      <c r="E289" s="94" t="s">
        <v>271</v>
      </c>
      <c r="F289" s="97"/>
      <c r="G289" s="97"/>
      <c r="H289" s="97"/>
      <c r="I289" s="97"/>
      <c r="J289" s="97"/>
      <c r="K289" s="97"/>
      <c r="L289" s="97"/>
      <c r="M289" s="97"/>
      <c r="N289" s="97"/>
    </row>
    <row r="290" spans="5:14" x14ac:dyDescent="0.25">
      <c r="E290" s="94" t="s">
        <v>272</v>
      </c>
      <c r="F290" s="97"/>
      <c r="G290" s="97"/>
      <c r="H290" s="97"/>
      <c r="I290" s="97"/>
      <c r="J290" s="97"/>
      <c r="K290" s="97"/>
      <c r="L290" s="97"/>
      <c r="M290" s="97"/>
      <c r="N290" s="97"/>
    </row>
    <row r="291" spans="5:14" x14ac:dyDescent="0.25">
      <c r="E291" s="94" t="s">
        <v>273</v>
      </c>
      <c r="F291" s="97"/>
      <c r="G291" s="97"/>
      <c r="H291" s="97"/>
      <c r="I291" s="97"/>
      <c r="J291" s="97"/>
      <c r="K291" s="97"/>
      <c r="L291" s="97"/>
      <c r="M291" s="97"/>
      <c r="N291" s="97"/>
    </row>
    <row r="292" spans="5:14" x14ac:dyDescent="0.25">
      <c r="E292" s="104" t="s">
        <v>258</v>
      </c>
      <c r="F292" s="97">
        <v>1331472.51</v>
      </c>
      <c r="G292" s="97">
        <v>1559088.73</v>
      </c>
      <c r="H292" s="97">
        <v>1640081.55</v>
      </c>
      <c r="I292" s="97">
        <v>855487.15</v>
      </c>
      <c r="J292" s="97">
        <v>563310.15</v>
      </c>
      <c r="K292" s="97">
        <v>318502.87</v>
      </c>
      <c r="L292" s="97"/>
      <c r="M292" s="97"/>
      <c r="N292" s="97"/>
    </row>
    <row r="293" spans="5:14" x14ac:dyDescent="0.25">
      <c r="E293" s="94" t="s">
        <v>259</v>
      </c>
      <c r="F293" s="97">
        <v>257052</v>
      </c>
      <c r="G293" s="97">
        <v>296773</v>
      </c>
      <c r="H293" s="97">
        <v>137506</v>
      </c>
      <c r="I293" s="97">
        <v>76479</v>
      </c>
      <c r="J293" s="97">
        <v>51613</v>
      </c>
      <c r="K293" s="97">
        <v>49157</v>
      </c>
      <c r="L293" s="97"/>
      <c r="M293" s="97"/>
      <c r="N293" s="97"/>
    </row>
    <row r="294" spans="5:14" x14ac:dyDescent="0.25">
      <c r="E294" s="94" t="s">
        <v>260</v>
      </c>
      <c r="F294" s="97">
        <v>0</v>
      </c>
      <c r="G294" s="97">
        <v>0</v>
      </c>
      <c r="H294" s="97">
        <v>0</v>
      </c>
      <c r="I294" s="97">
        <v>0</v>
      </c>
      <c r="J294" s="97">
        <v>0</v>
      </c>
      <c r="K294" s="97"/>
      <c r="L294" s="97"/>
      <c r="M294" s="97"/>
      <c r="N294" s="97"/>
    </row>
    <row r="295" spans="5:14" x14ac:dyDescent="0.25">
      <c r="E295" s="104" t="s">
        <v>261</v>
      </c>
      <c r="F295" s="97">
        <v>1074420.51</v>
      </c>
      <c r="G295" s="97">
        <v>1262315.73</v>
      </c>
      <c r="H295" s="97">
        <v>1502575.55</v>
      </c>
      <c r="I295" s="97">
        <v>779008.15</v>
      </c>
      <c r="J295" s="97">
        <v>511697.15</v>
      </c>
      <c r="K295" s="97">
        <v>269345.87</v>
      </c>
      <c r="L295" s="97"/>
      <c r="M295" s="97"/>
      <c r="N295" s="97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69B1F-A12B-4626-9E23-DB35832858AD}">
  <sheetPr>
    <tabColor theme="4" tint="0.79998168889431442"/>
  </sheetPr>
  <dimension ref="A1:K296"/>
  <sheetViews>
    <sheetView topLeftCell="A113" workbookViewId="0">
      <selection sqref="A1:K298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0" width="18.33203125" style="79" customWidth="1"/>
    <col min="11" max="12" width="15" style="43" customWidth="1"/>
    <col min="13" max="16384" width="9.109375" style="43"/>
  </cols>
  <sheetData>
    <row r="1" spans="1:10" ht="18" customHeight="1" x14ac:dyDescent="0.25">
      <c r="E1" s="181" t="s">
        <v>413</v>
      </c>
      <c r="F1" s="183"/>
      <c r="G1" s="183"/>
      <c r="H1" s="183"/>
      <c r="I1" s="183"/>
      <c r="J1" s="183"/>
    </row>
    <row r="2" spans="1:10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0" x14ac:dyDescent="0.25">
      <c r="E3" s="44" t="s">
        <v>291</v>
      </c>
      <c r="F3" s="45"/>
      <c r="G3" s="45"/>
      <c r="H3" s="45"/>
      <c r="I3" s="45"/>
      <c r="J3" s="45"/>
    </row>
    <row r="4" spans="1:10" x14ac:dyDescent="0.25">
      <c r="A4" s="139">
        <f>MIN(F4:K4)</f>
        <v>0.69817633845740468</v>
      </c>
      <c r="B4" s="139">
        <f>MAX(F4:K4)</f>
        <v>1.788797234750557</v>
      </c>
      <c r="C4" s="155">
        <f>AVERAGE(F4:K4)</f>
        <v>1.2425665844600366</v>
      </c>
      <c r="D4" s="156">
        <f>MEDIAN(F4:K4)</f>
        <v>1.4023102196248227</v>
      </c>
      <c r="E4" s="47" t="s">
        <v>364</v>
      </c>
      <c r="F4" s="71">
        <f>SUM(F9:F12)/SUM(F13:F15)</f>
        <v>1.788797234750557</v>
      </c>
      <c r="G4" s="71">
        <f t="shared" ref="G4:J4" si="0">SUM(G9:G12)/SUM(G13:G15)</f>
        <v>1.4023102196248227</v>
      </c>
      <c r="H4" s="71">
        <f t="shared" si="0"/>
        <v>0.86263184312292474</v>
      </c>
      <c r="I4" s="71">
        <f t="shared" si="0"/>
        <v>1.460917286344475</v>
      </c>
      <c r="J4" s="71">
        <f t="shared" si="0"/>
        <v>0.69817633845740468</v>
      </c>
    </row>
    <row r="5" spans="1:10" x14ac:dyDescent="0.25">
      <c r="A5" s="139">
        <f t="shared" ref="A5:A7" si="1">MIN(F5:K5)</f>
        <v>0.81285278677687312</v>
      </c>
      <c r="B5" s="139">
        <f t="shared" ref="B5:B7" si="2">MAX(F5:K5)</f>
        <v>1.788797234750557</v>
      </c>
      <c r="C5" s="155">
        <f t="shared" ref="C5:C7" si="3">AVERAGEIF(F5:K5,"&gt;0")</f>
        <v>1.3071695280923956</v>
      </c>
      <c r="D5" s="156">
        <f t="shared" ref="D5:D7" si="4">_xlfn.AGGREGATE(12,6,F5:K5)</f>
        <v>1.4023102196248227</v>
      </c>
      <c r="E5" s="47" t="s">
        <v>363</v>
      </c>
      <c r="F5" s="71">
        <f t="shared" ref="F5:J5" si="5">SUM(F9:F12)/F14</f>
        <v>1.788797234750557</v>
      </c>
      <c r="G5" s="71">
        <f t="shared" si="5"/>
        <v>1.4023102196248227</v>
      </c>
      <c r="H5" s="71">
        <f t="shared" si="5"/>
        <v>0.86263184312292474</v>
      </c>
      <c r="I5" s="71">
        <f t="shared" si="5"/>
        <v>1.6692555561868005</v>
      </c>
      <c r="J5" s="71">
        <f t="shared" si="5"/>
        <v>0.81285278677687312</v>
      </c>
    </row>
    <row r="6" spans="1:10" x14ac:dyDescent="0.25">
      <c r="A6" s="139">
        <f t="shared" si="1"/>
        <v>0.80217525755205443</v>
      </c>
      <c r="B6" s="139">
        <f t="shared" si="2"/>
        <v>1.7816859216346432</v>
      </c>
      <c r="C6" s="155">
        <f t="shared" si="3"/>
        <v>1.3014761755316746</v>
      </c>
      <c r="D6" s="156">
        <f t="shared" si="4"/>
        <v>1.3962491591676662</v>
      </c>
      <c r="E6" s="47" t="s">
        <v>365</v>
      </c>
      <c r="F6" s="71">
        <f t="shared" ref="F6:J6" si="6">SUM(F10:F11)/F14</f>
        <v>1.7816859216346432</v>
      </c>
      <c r="G6" s="71">
        <f t="shared" si="6"/>
        <v>1.3962491591676662</v>
      </c>
      <c r="H6" s="71">
        <f t="shared" si="6"/>
        <v>0.85801498311720925</v>
      </c>
      <c r="I6" s="71">
        <f t="shared" si="6"/>
        <v>1.6692555561868005</v>
      </c>
      <c r="J6" s="71">
        <f t="shared" si="6"/>
        <v>0.80217525755205443</v>
      </c>
    </row>
    <row r="7" spans="1:10" ht="13.8" thickBot="1" x14ac:dyDescent="0.3">
      <c r="A7" s="139">
        <f t="shared" si="1"/>
        <v>0.47014840312847933</v>
      </c>
      <c r="B7" s="139">
        <f t="shared" si="2"/>
        <v>0.66748819045886998</v>
      </c>
      <c r="C7" s="155">
        <f t="shared" si="3"/>
        <v>0.57237543400942381</v>
      </c>
      <c r="D7" s="156">
        <f t="shared" si="4"/>
        <v>0.58253952339064274</v>
      </c>
      <c r="E7" s="49" t="s">
        <v>366</v>
      </c>
      <c r="F7" s="73">
        <f t="shared" ref="F7:J7" si="7">F11/F14</f>
        <v>0.62718775356965517</v>
      </c>
      <c r="G7" s="73">
        <f t="shared" si="7"/>
        <v>0.66748819045886998</v>
      </c>
      <c r="H7" s="73">
        <f t="shared" si="7"/>
        <v>0.47014840312847933</v>
      </c>
      <c r="I7" s="73">
        <f t="shared" si="7"/>
        <v>0.58253952339064274</v>
      </c>
      <c r="J7" s="73">
        <f t="shared" si="7"/>
        <v>0.51451329949947233</v>
      </c>
    </row>
    <row r="8" spans="1:10" x14ac:dyDescent="0.25">
      <c r="F8" s="43"/>
      <c r="G8" s="43"/>
      <c r="H8" s="43"/>
      <c r="I8" s="43"/>
      <c r="J8" s="43"/>
    </row>
    <row r="9" spans="1:10" x14ac:dyDescent="0.25">
      <c r="E9" s="43" t="s">
        <v>289</v>
      </c>
      <c r="F9" s="76">
        <f>F127</f>
        <v>0</v>
      </c>
      <c r="G9" s="76">
        <f t="shared" ref="G9:J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</row>
    <row r="10" spans="1:10" x14ac:dyDescent="0.25">
      <c r="E10" s="43" t="s">
        <v>288</v>
      </c>
      <c r="F10" s="76">
        <f>F133</f>
        <v>405144.29</v>
      </c>
      <c r="G10" s="76">
        <f t="shared" ref="G10:J10" si="9">G133</f>
        <v>300056.31</v>
      </c>
      <c r="H10" s="76">
        <f t="shared" si="9"/>
        <v>209653.41</v>
      </c>
      <c r="I10" s="76">
        <f t="shared" si="9"/>
        <v>435168.1</v>
      </c>
      <c r="J10" s="76">
        <f t="shared" si="9"/>
        <v>112092.89</v>
      </c>
    </row>
    <row r="11" spans="1:10" x14ac:dyDescent="0.25">
      <c r="E11" s="43" t="s">
        <v>287</v>
      </c>
      <c r="F11" s="76">
        <f>F151</f>
        <v>220096.96</v>
      </c>
      <c r="G11" s="76">
        <f t="shared" ref="G11:J11" si="10">G151</f>
        <v>274828.17</v>
      </c>
      <c r="H11" s="76">
        <f t="shared" si="10"/>
        <v>254129.18</v>
      </c>
      <c r="I11" s="76">
        <f t="shared" si="10"/>
        <v>233274.02</v>
      </c>
      <c r="J11" s="76">
        <f t="shared" si="10"/>
        <v>200489.78</v>
      </c>
    </row>
    <row r="12" spans="1:10" x14ac:dyDescent="0.25">
      <c r="E12" s="43" t="s">
        <v>290</v>
      </c>
      <c r="F12" s="76">
        <f>F168</f>
        <v>2495.5500000000002</v>
      </c>
      <c r="G12" s="76">
        <f t="shared" ref="G12:J12" si="11">G168</f>
        <v>2495.5500000000002</v>
      </c>
      <c r="H12" s="76">
        <f t="shared" si="11"/>
        <v>2495.5500000000002</v>
      </c>
      <c r="I12" s="76">
        <f t="shared" si="11"/>
        <v>0</v>
      </c>
      <c r="J12" s="76">
        <f t="shared" si="11"/>
        <v>4160.7</v>
      </c>
    </row>
    <row r="13" spans="1:10" x14ac:dyDescent="0.25">
      <c r="E13" s="43" t="s">
        <v>310</v>
      </c>
      <c r="F13" s="76">
        <f>F194</f>
        <v>0</v>
      </c>
      <c r="G13" s="76">
        <f t="shared" ref="G13:J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</row>
    <row r="14" spans="1:10" x14ac:dyDescent="0.25">
      <c r="E14" s="43" t="s">
        <v>286</v>
      </c>
      <c r="F14" s="76">
        <f>F211</f>
        <v>350926.75</v>
      </c>
      <c r="G14" s="76">
        <f t="shared" ref="G14:J14" si="13">G211</f>
        <v>411734.88</v>
      </c>
      <c r="H14" s="76">
        <f t="shared" si="13"/>
        <v>540529.71</v>
      </c>
      <c r="I14" s="76">
        <f t="shared" si="13"/>
        <v>400443.25</v>
      </c>
      <c r="J14" s="76">
        <f t="shared" si="13"/>
        <v>389668.8</v>
      </c>
    </row>
    <row r="15" spans="1:10" x14ac:dyDescent="0.25">
      <c r="E15" s="43" t="s">
        <v>362</v>
      </c>
      <c r="F15" s="76">
        <f>F235</f>
        <v>0</v>
      </c>
      <c r="G15" s="76">
        <f t="shared" ref="G15:J15" si="14">G235</f>
        <v>0</v>
      </c>
      <c r="H15" s="76">
        <f t="shared" si="14"/>
        <v>0</v>
      </c>
      <c r="I15" s="76">
        <f t="shared" si="14"/>
        <v>57106.35</v>
      </c>
      <c r="J15" s="76">
        <f t="shared" si="14"/>
        <v>64003.65</v>
      </c>
    </row>
    <row r="16" spans="1:10" x14ac:dyDescent="0.25">
      <c r="F16" s="43"/>
      <c r="G16" s="43"/>
      <c r="H16" s="43"/>
      <c r="I16" s="43"/>
      <c r="J16" s="43"/>
    </row>
    <row r="17" spans="1:10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5">
      <c r="E18" s="44" t="s">
        <v>292</v>
      </c>
      <c r="F18" s="45"/>
      <c r="G18" s="45"/>
      <c r="H18" s="45"/>
      <c r="I18" s="45"/>
      <c r="J18" s="45"/>
    </row>
    <row r="19" spans="1:10" x14ac:dyDescent="0.25">
      <c r="A19" s="152">
        <f t="shared" ref="A19:A25" si="15">MIN(F19:K19)</f>
        <v>22.687052476692845</v>
      </c>
      <c r="B19" s="152">
        <f t="shared" ref="B19:B25" si="16">MAX(F19:K19)</f>
        <v>87.977161316217263</v>
      </c>
      <c r="C19" s="156">
        <f>AVERAGE(F19:K19)</f>
        <v>50.599056295621793</v>
      </c>
      <c r="D19" s="156">
        <f>MEDIAN(F19:K19)</f>
        <v>45.866005694788527</v>
      </c>
      <c r="E19" s="47" t="s">
        <v>293</v>
      </c>
      <c r="F19" s="71">
        <f>F28/(F27/365)</f>
        <v>49.061065877172254</v>
      </c>
      <c r="G19" s="162"/>
      <c r="H19" s="71">
        <f t="shared" ref="H19:J19" si="17">H28/(H27/365)</f>
        <v>42.670945512404799</v>
      </c>
      <c r="I19" s="71">
        <f t="shared" si="17"/>
        <v>87.977161316217263</v>
      </c>
      <c r="J19" s="71">
        <f t="shared" si="17"/>
        <v>22.687052476692845</v>
      </c>
    </row>
    <row r="20" spans="1:10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162"/>
      <c r="H20" s="71">
        <f t="shared" ref="H20:J20" si="20">H29/(H27/365)</f>
        <v>0</v>
      </c>
      <c r="I20" s="71">
        <f t="shared" si="20"/>
        <v>0</v>
      </c>
      <c r="J20" s="71">
        <f t="shared" si="20"/>
        <v>0</v>
      </c>
    </row>
    <row r="21" spans="1:10" x14ac:dyDescent="0.25">
      <c r="A21" s="152">
        <f t="shared" si="15"/>
        <v>42.495577069127542</v>
      </c>
      <c r="B21" s="152">
        <f t="shared" si="16"/>
        <v>110.01449393666415</v>
      </c>
      <c r="C21" s="156">
        <f t="shared" si="18"/>
        <v>78.08350740660191</v>
      </c>
      <c r="D21" s="156">
        <f t="shared" si="19"/>
        <v>79.911979310307984</v>
      </c>
      <c r="E21" s="47" t="s">
        <v>368</v>
      </c>
      <c r="F21" s="71">
        <f>F30/(F27/365)</f>
        <v>42.495577069127542</v>
      </c>
      <c r="G21" s="162"/>
      <c r="H21" s="71">
        <f t="shared" ref="H21:J21" si="21">H30/(H27/365)</f>
        <v>110.01449393666415</v>
      </c>
      <c r="I21" s="71">
        <f t="shared" si="21"/>
        <v>80.956900111107217</v>
      </c>
      <c r="J21" s="71">
        <f t="shared" si="21"/>
        <v>78.867058509508752</v>
      </c>
    </row>
    <row r="22" spans="1:10" x14ac:dyDescent="0.25">
      <c r="A22" s="152">
        <f t="shared" si="15"/>
        <v>-67.343548424259353</v>
      </c>
      <c r="B22" s="152">
        <f t="shared" si="16"/>
        <v>7.0202612051100459</v>
      </c>
      <c r="C22" s="156">
        <f t="shared" si="18"/>
        <v>-27.484451110980125</v>
      </c>
      <c r="D22" s="156">
        <f t="shared" si="19"/>
        <v>-24.807258612385599</v>
      </c>
      <c r="E22" s="47" t="s">
        <v>294</v>
      </c>
      <c r="F22" s="71">
        <f>F19+F20-F21</f>
        <v>6.5654888080447122</v>
      </c>
      <c r="G22" s="162"/>
      <c r="H22" s="71">
        <f t="shared" ref="H22:J22" si="22">H19+H20-H21</f>
        <v>-67.343548424259353</v>
      </c>
      <c r="I22" s="71">
        <f t="shared" si="22"/>
        <v>7.0202612051100459</v>
      </c>
      <c r="J22" s="71">
        <f t="shared" si="22"/>
        <v>-56.180006032815911</v>
      </c>
    </row>
    <row r="23" spans="1:10" x14ac:dyDescent="0.25">
      <c r="A23" s="152">
        <f t="shared" si="15"/>
        <v>0</v>
      </c>
      <c r="B23" s="152">
        <f t="shared" si="16"/>
        <v>3.7583815622313725</v>
      </c>
      <c r="C23" s="156">
        <f t="shared" si="18"/>
        <v>2.4410849448742176</v>
      </c>
      <c r="D23" s="156">
        <f t="shared" si="19"/>
        <v>2.978505622372118</v>
      </c>
      <c r="E23" s="47" t="s">
        <v>295</v>
      </c>
      <c r="F23" s="71">
        <f>F27/F31</f>
        <v>3.4810804357044285</v>
      </c>
      <c r="G23" s="71">
        <f t="shared" ref="G23:J23" si="23">G27/G31</f>
        <v>0</v>
      </c>
      <c r="H23" s="71">
        <f t="shared" si="23"/>
        <v>2.978505622372118</v>
      </c>
      <c r="I23" s="71">
        <f t="shared" si="23"/>
        <v>1.9874571040631701</v>
      </c>
      <c r="J23" s="71">
        <f t="shared" si="23"/>
        <v>3.7583815622313725</v>
      </c>
    </row>
    <row r="24" spans="1:10" x14ac:dyDescent="0.25">
      <c r="A24" s="152">
        <f t="shared" si="15"/>
        <v>0</v>
      </c>
      <c r="B24" s="152">
        <f t="shared" si="16"/>
        <v>13.204224640190423</v>
      </c>
      <c r="C24" s="156">
        <f t="shared" si="18"/>
        <v>8.8885965728209477</v>
      </c>
      <c r="D24" s="156">
        <f t="shared" si="19"/>
        <v>11.057603053987419</v>
      </c>
      <c r="E24" s="121" t="s">
        <v>369</v>
      </c>
      <c r="F24" s="71">
        <f>F27/F32</f>
        <v>12.657554844200829</v>
      </c>
      <c r="G24" s="71">
        <f t="shared" ref="G24:J24" si="24">G27/G32</f>
        <v>0</v>
      </c>
      <c r="H24" s="71">
        <f t="shared" si="24"/>
        <v>13.204224640190423</v>
      </c>
      <c r="I24" s="71">
        <f t="shared" si="24"/>
        <v>7.5236003257260711</v>
      </c>
      <c r="J24" s="71">
        <f t="shared" si="24"/>
        <v>11.057603053987419</v>
      </c>
    </row>
    <row r="25" spans="1:10" ht="13.8" thickBot="1" x14ac:dyDescent="0.3">
      <c r="A25" s="152">
        <f t="shared" si="15"/>
        <v>0</v>
      </c>
      <c r="B25" s="152">
        <f t="shared" si="16"/>
        <v>5.6935786217087987</v>
      </c>
      <c r="C25" s="156">
        <f t="shared" si="18"/>
        <v>3.4084442743808756</v>
      </c>
      <c r="D25" s="156">
        <f t="shared" si="19"/>
        <v>3.8460725608968072</v>
      </c>
      <c r="E25" s="49" t="s">
        <v>296</v>
      </c>
      <c r="F25" s="73">
        <f>F27/F33</f>
        <v>4.8016225590088073</v>
      </c>
      <c r="G25" s="73">
        <f t="shared" ref="G25:J25" si="25">G27/G33</f>
        <v>0</v>
      </c>
      <c r="H25" s="73">
        <f t="shared" si="25"/>
        <v>3.8460725608968072</v>
      </c>
      <c r="I25" s="73">
        <f t="shared" si="25"/>
        <v>2.7009476302899644</v>
      </c>
      <c r="J25" s="73">
        <f t="shared" si="25"/>
        <v>5.6935786217087987</v>
      </c>
    </row>
    <row r="26" spans="1:10" x14ac:dyDescent="0.25">
      <c r="C26" s="155"/>
      <c r="D26" s="156"/>
      <c r="F26" s="43"/>
      <c r="G26" s="43"/>
      <c r="H26" s="43"/>
      <c r="I26" s="43"/>
      <c r="J26" s="43"/>
    </row>
    <row r="27" spans="1:10" x14ac:dyDescent="0.25">
      <c r="E27" s="43" t="s">
        <v>304</v>
      </c>
      <c r="F27" s="76">
        <f>F241</f>
        <v>3014155.18</v>
      </c>
      <c r="G27" s="76">
        <f t="shared" ref="G27:J27" si="26">G241</f>
        <v>0</v>
      </c>
      <c r="H27" s="76">
        <f t="shared" si="26"/>
        <v>1793339.56</v>
      </c>
      <c r="I27" s="76">
        <f t="shared" si="26"/>
        <v>1805427.16</v>
      </c>
      <c r="J27" s="76">
        <f t="shared" si="26"/>
        <v>1803403.28</v>
      </c>
    </row>
    <row r="28" spans="1:10" x14ac:dyDescent="0.25">
      <c r="E28" s="43" t="s">
        <v>305</v>
      </c>
      <c r="F28" s="76">
        <f>F133</f>
        <v>405144.29</v>
      </c>
      <c r="G28" s="76">
        <f t="shared" ref="G28:J28" si="27">G133</f>
        <v>300056.31</v>
      </c>
      <c r="H28" s="76">
        <f t="shared" si="27"/>
        <v>209653.41</v>
      </c>
      <c r="I28" s="76">
        <f t="shared" si="27"/>
        <v>435168.1</v>
      </c>
      <c r="J28" s="76">
        <f t="shared" si="27"/>
        <v>112092.89</v>
      </c>
    </row>
    <row r="29" spans="1:10" x14ac:dyDescent="0.25">
      <c r="E29" s="43" t="s">
        <v>306</v>
      </c>
      <c r="F29" s="76">
        <f>F127</f>
        <v>0</v>
      </c>
      <c r="G29" s="76">
        <f t="shared" ref="G29:J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</row>
    <row r="30" spans="1:10" x14ac:dyDescent="0.25">
      <c r="E30" s="43" t="s">
        <v>307</v>
      </c>
      <c r="F30" s="76">
        <f>F211</f>
        <v>350926.75</v>
      </c>
      <c r="G30" s="76">
        <f t="shared" ref="G30:J30" si="29">G211</f>
        <v>411734.88</v>
      </c>
      <c r="H30" s="76">
        <f t="shared" si="29"/>
        <v>540529.71</v>
      </c>
      <c r="I30" s="76">
        <f t="shared" si="29"/>
        <v>400443.25</v>
      </c>
      <c r="J30" s="76">
        <f t="shared" si="29"/>
        <v>389668.8</v>
      </c>
    </row>
    <row r="31" spans="1:10" x14ac:dyDescent="0.25">
      <c r="E31" s="43" t="s">
        <v>303</v>
      </c>
      <c r="F31" s="76">
        <f>F171</f>
        <v>865867.72</v>
      </c>
      <c r="G31" s="76">
        <f t="shared" ref="G31:J31" si="30">G171</f>
        <v>675183.02</v>
      </c>
      <c r="H31" s="76">
        <f t="shared" si="30"/>
        <v>602093.73</v>
      </c>
      <c r="I31" s="76">
        <f t="shared" si="30"/>
        <v>908410.63</v>
      </c>
      <c r="J31" s="76">
        <f t="shared" si="30"/>
        <v>479835.07</v>
      </c>
    </row>
    <row r="32" spans="1:10" x14ac:dyDescent="0.25">
      <c r="E32" s="43" t="s">
        <v>308</v>
      </c>
      <c r="F32" s="76">
        <f>F84</f>
        <v>238130.92</v>
      </c>
      <c r="G32" s="76">
        <f t="shared" ref="G32:J32" si="31">G84</f>
        <v>97802.99</v>
      </c>
      <c r="H32" s="76">
        <f t="shared" si="31"/>
        <v>135815.59</v>
      </c>
      <c r="I32" s="76">
        <f t="shared" si="31"/>
        <v>239968.51</v>
      </c>
      <c r="J32" s="76">
        <f t="shared" si="31"/>
        <v>163091.70000000001</v>
      </c>
    </row>
    <row r="33" spans="1:10" x14ac:dyDescent="0.25">
      <c r="E33" s="43" t="s">
        <v>309</v>
      </c>
      <c r="F33" s="76">
        <f>F126</f>
        <v>627736.80000000005</v>
      </c>
      <c r="G33" s="76">
        <f t="shared" ref="G33:J33" si="32">G126</f>
        <v>577380.03</v>
      </c>
      <c r="H33" s="76">
        <f t="shared" si="32"/>
        <v>466278.14</v>
      </c>
      <c r="I33" s="76">
        <f t="shared" si="32"/>
        <v>668442.12</v>
      </c>
      <c r="J33" s="76">
        <f t="shared" si="32"/>
        <v>316743.37</v>
      </c>
    </row>
    <row r="34" spans="1:10" x14ac:dyDescent="0.25">
      <c r="F34" s="43"/>
      <c r="G34" s="43"/>
      <c r="H34" s="43"/>
      <c r="I34" s="43"/>
      <c r="J34" s="43"/>
    </row>
    <row r="35" spans="1:10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0" x14ac:dyDescent="0.25">
      <c r="E36" s="125" t="s">
        <v>297</v>
      </c>
      <c r="F36" s="130"/>
      <c r="G36" s="45"/>
      <c r="H36" s="45"/>
      <c r="I36" s="45"/>
      <c r="J36" s="45"/>
    </row>
    <row r="37" spans="1:10" x14ac:dyDescent="0.25">
      <c r="A37" s="139">
        <f t="shared" ref="A37:A41" si="33">MIN(F37:K37)</f>
        <v>0.40528910120358802</v>
      </c>
      <c r="B37" s="139">
        <f t="shared" ref="B37:B41" si="34">MAX(F37:K37)</f>
        <v>0.89775010611719874</v>
      </c>
      <c r="C37" s="160">
        <f t="shared" ref="C37:C41" si="35">AVERAGE(F37:K37)</f>
        <v>0.63546723809930228</v>
      </c>
      <c r="D37" s="160">
        <f t="shared" ref="D37:D41" si="36">MEDIAN(F37:K37)</f>
        <v>0.60981225505345205</v>
      </c>
      <c r="E37" s="126" t="s">
        <v>370</v>
      </c>
      <c r="F37" s="131">
        <f>F43/F44*100%</f>
        <v>0.40528910120358802</v>
      </c>
      <c r="G37" s="124">
        <f t="shared" ref="G37:J37" si="37">G43/G44*100%</f>
        <v>0.60981225505345205</v>
      </c>
      <c r="H37" s="124">
        <f t="shared" si="37"/>
        <v>0.89775010611719874</v>
      </c>
      <c r="I37" s="124">
        <f t="shared" si="37"/>
        <v>0.44081744177740412</v>
      </c>
      <c r="J37" s="124">
        <f t="shared" si="37"/>
        <v>0.82366728634486852</v>
      </c>
    </row>
    <row r="38" spans="1:10" x14ac:dyDescent="0.25">
      <c r="A38" s="139">
        <f t="shared" si="33"/>
        <v>0.68148927827591577</v>
      </c>
      <c r="B38" s="139">
        <f t="shared" si="34"/>
        <v>19.179163651910009</v>
      </c>
      <c r="C38" s="155">
        <f t="shared" si="35"/>
        <v>6.2183314884293619</v>
      </c>
      <c r="D38" s="156">
        <f t="shared" si="36"/>
        <v>1.5628688059820806</v>
      </c>
      <c r="E38" s="127" t="s">
        <v>298</v>
      </c>
      <c r="F38" s="133">
        <f>F43/F45</f>
        <v>0.68148927827591577</v>
      </c>
      <c r="G38" s="122">
        <f t="shared" ref="G38:J38" si="38">G43/G45</f>
        <v>1.5628688059820806</v>
      </c>
      <c r="H38" s="122">
        <f t="shared" si="38"/>
        <v>8.7799612500938053</v>
      </c>
      <c r="I38" s="122">
        <f t="shared" si="38"/>
        <v>0.88817445588499844</v>
      </c>
      <c r="J38" s="122">
        <f t="shared" si="38"/>
        <v>19.179163651910009</v>
      </c>
    </row>
    <row r="39" spans="1:10" x14ac:dyDescent="0.25">
      <c r="A39" s="139">
        <f t="shared" si="33"/>
        <v>1.6814892782759159</v>
      </c>
      <c r="B39" s="139">
        <f t="shared" si="34"/>
        <v>23.285086065539961</v>
      </c>
      <c r="C39" s="155">
        <f t="shared" si="35"/>
        <v>7.8648481006587598</v>
      </c>
      <c r="D39" s="156">
        <f t="shared" si="36"/>
        <v>2.5628688059820806</v>
      </c>
      <c r="E39" s="127" t="s">
        <v>299</v>
      </c>
      <c r="F39" s="133">
        <f>F44/F45</f>
        <v>1.6814892782759159</v>
      </c>
      <c r="G39" s="122">
        <f t="shared" ref="G39:J39" si="39">G44/G45</f>
        <v>2.5628688059820806</v>
      </c>
      <c r="H39" s="122">
        <f t="shared" si="39"/>
        <v>9.7799612500938053</v>
      </c>
      <c r="I39" s="122">
        <f t="shared" si="39"/>
        <v>2.0148351034020395</v>
      </c>
      <c r="J39" s="122">
        <f t="shared" si="39"/>
        <v>23.285086065539961</v>
      </c>
    </row>
    <row r="40" spans="1:10" x14ac:dyDescent="0.25">
      <c r="A40" s="139">
        <f t="shared" si="33"/>
        <v>0</v>
      </c>
      <c r="B40" s="139">
        <f t="shared" si="34"/>
        <v>1.1578249167990159E-2</v>
      </c>
      <c r="C40" s="160">
        <f t="shared" si="35"/>
        <v>2.3156498335980317E-3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1.1578249167990159E-2</v>
      </c>
    </row>
    <row r="41" spans="1:10" ht="13.8" thickBot="1" x14ac:dyDescent="0.3">
      <c r="A41" s="139">
        <f t="shared" si="33"/>
        <v>-44396.675090252706</v>
      </c>
      <c r="B41" s="139">
        <f t="shared" si="34"/>
        <v>-74.255535872453507</v>
      </c>
      <c r="C41" s="155">
        <f t="shared" si="35"/>
        <v>-22235.465313062581</v>
      </c>
      <c r="D41" s="156">
        <f t="shared" si="36"/>
        <v>-22235.465313062581</v>
      </c>
      <c r="E41" s="129" t="s">
        <v>300</v>
      </c>
      <c r="F41" s="172"/>
      <c r="G41" s="171"/>
      <c r="H41" s="123">
        <f t="shared" ref="H41:J41" si="41">(H47+H48)/H48</f>
        <v>-44396.675090252706</v>
      </c>
      <c r="I41" s="171"/>
      <c r="J41" s="123">
        <f t="shared" si="41"/>
        <v>-74.255535872453507</v>
      </c>
    </row>
    <row r="42" spans="1:10" x14ac:dyDescent="0.25">
      <c r="F42" s="43"/>
      <c r="G42" s="43"/>
      <c r="H42" s="43"/>
      <c r="I42" s="43"/>
      <c r="J42" s="43"/>
    </row>
    <row r="43" spans="1:10" x14ac:dyDescent="0.25">
      <c r="E43" s="43" t="s">
        <v>318</v>
      </c>
      <c r="F43" s="76">
        <f>F202+F211</f>
        <v>350926.75</v>
      </c>
      <c r="G43" s="76">
        <f t="shared" ref="G43:J43" si="42">G202+G211</f>
        <v>411734.88</v>
      </c>
      <c r="H43" s="76">
        <f t="shared" si="42"/>
        <v>540529.71</v>
      </c>
      <c r="I43" s="76">
        <f t="shared" si="42"/>
        <v>400443.25</v>
      </c>
      <c r="J43" s="76">
        <f t="shared" si="42"/>
        <v>395224.45</v>
      </c>
    </row>
    <row r="44" spans="1:10" x14ac:dyDescent="0.25">
      <c r="E44" s="43" t="s">
        <v>303</v>
      </c>
      <c r="F44" s="76">
        <f>F171</f>
        <v>865867.72</v>
      </c>
      <c r="G44" s="76">
        <f t="shared" ref="G44:J44" si="43">G171</f>
        <v>675183.02</v>
      </c>
      <c r="H44" s="76">
        <f t="shared" si="43"/>
        <v>602093.73</v>
      </c>
      <c r="I44" s="76">
        <f t="shared" si="43"/>
        <v>908410.63</v>
      </c>
      <c r="J44" s="76">
        <f t="shared" si="43"/>
        <v>479835.07</v>
      </c>
    </row>
    <row r="45" spans="1:10" x14ac:dyDescent="0.25">
      <c r="E45" s="43" t="s">
        <v>311</v>
      </c>
      <c r="F45" s="76">
        <f>F172</f>
        <v>514940.97</v>
      </c>
      <c r="G45" s="76">
        <f t="shared" ref="G45:J45" si="44">G172</f>
        <v>263448.14</v>
      </c>
      <c r="H45" s="76">
        <f t="shared" si="44"/>
        <v>61564.02</v>
      </c>
      <c r="I45" s="76">
        <f t="shared" si="44"/>
        <v>450861.03</v>
      </c>
      <c r="J45" s="76">
        <f t="shared" si="44"/>
        <v>20606.97</v>
      </c>
    </row>
    <row r="46" spans="1:10" x14ac:dyDescent="0.25">
      <c r="E46" s="43" t="s">
        <v>312</v>
      </c>
      <c r="F46" s="76">
        <f>F202</f>
        <v>0</v>
      </c>
      <c r="G46" s="76">
        <f t="shared" ref="G46:J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5555.65</v>
      </c>
    </row>
    <row r="47" spans="1:10" x14ac:dyDescent="0.25">
      <c r="E47" s="43" t="s">
        <v>313</v>
      </c>
      <c r="F47" s="76">
        <f>F292</f>
        <v>72067.02</v>
      </c>
      <c r="G47" s="76">
        <f t="shared" ref="G47:J47" si="46">G292</f>
        <v>0</v>
      </c>
      <c r="H47" s="76">
        <f t="shared" si="46"/>
        <v>-122981.56</v>
      </c>
      <c r="I47" s="76">
        <f t="shared" si="46"/>
        <v>169095.65</v>
      </c>
      <c r="J47" s="76">
        <f t="shared" si="46"/>
        <v>-27188.32</v>
      </c>
    </row>
    <row r="48" spans="1:10" x14ac:dyDescent="0.25">
      <c r="E48" s="43" t="s">
        <v>314</v>
      </c>
      <c r="F48" s="76">
        <f>F282</f>
        <v>0</v>
      </c>
      <c r="G48" s="76">
        <f t="shared" ref="G48:J48" si="47">G282</f>
        <v>0</v>
      </c>
      <c r="H48" s="76">
        <f t="shared" si="47"/>
        <v>2.77</v>
      </c>
      <c r="I48" s="76">
        <f t="shared" si="47"/>
        <v>0</v>
      </c>
      <c r="J48" s="76">
        <f t="shared" si="47"/>
        <v>361.28</v>
      </c>
    </row>
    <row r="49" spans="1:10" x14ac:dyDescent="0.25">
      <c r="F49" s="43"/>
      <c r="G49" s="43"/>
      <c r="H49" s="43"/>
      <c r="I49" s="43"/>
      <c r="J49" s="43"/>
    </row>
    <row r="50" spans="1:10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5">
      <c r="E51" s="44" t="s">
        <v>301</v>
      </c>
      <c r="F51" s="45"/>
      <c r="G51" s="45"/>
      <c r="H51" s="45"/>
      <c r="I51" s="45"/>
      <c r="J51" s="45"/>
    </row>
    <row r="52" spans="1:10" x14ac:dyDescent="0.25">
      <c r="A52" s="139">
        <f t="shared" ref="A52:A63" si="48">MIN(F52:K52)</f>
        <v>-4.2620664314986505E-2</v>
      </c>
      <c r="B52" s="139">
        <f t="shared" ref="B52:B63" si="49">MAX(F52:K52)</f>
        <v>5.8397975758179815E-2</v>
      </c>
      <c r="C52" s="160">
        <f t="shared" ref="C52:C63" si="50">AVERAGE(F52:K52)</f>
        <v>5.7935674031032013E-3</v>
      </c>
      <c r="D52" s="160">
        <f t="shared" ref="D52:D63" si="51">MEDIAN(F52:K52)</f>
        <v>3.6984790846097491E-3</v>
      </c>
      <c r="E52" s="50" t="s">
        <v>350</v>
      </c>
      <c r="F52" s="119">
        <f t="shared" ref="F52:J52" si="52">(F65/(F70+F71))*100%</f>
        <v>1.7445416898749285E-2</v>
      </c>
      <c r="G52" s="177"/>
      <c r="H52" s="119">
        <f t="shared" si="52"/>
        <v>-4.2620664314986505E-2</v>
      </c>
      <c r="I52" s="119">
        <f t="shared" si="52"/>
        <v>5.8397975758179815E-2</v>
      </c>
      <c r="J52" s="119">
        <f t="shared" si="52"/>
        <v>-1.0048458729529789E-2</v>
      </c>
    </row>
    <row r="53" spans="1:10" x14ac:dyDescent="0.25">
      <c r="A53" s="139">
        <f t="shared" si="48"/>
        <v>-0.65509140945956723</v>
      </c>
      <c r="B53" s="139">
        <f t="shared" si="49"/>
        <v>-0.34662381251385999</v>
      </c>
      <c r="C53" s="160">
        <f t="shared" si="50"/>
        <v>-0.4951015553518493</v>
      </c>
      <c r="D53" s="160">
        <f t="shared" si="51"/>
        <v>-0.4893454997169851</v>
      </c>
      <c r="E53" s="50" t="s">
        <v>351</v>
      </c>
      <c r="F53" s="119">
        <f>(F66/F70)*100%</f>
        <v>-0.34662381251385999</v>
      </c>
      <c r="G53" s="177"/>
      <c r="H53" s="119">
        <f t="shared" ref="H53:J53" si="53">(H66/H70)*100%</f>
        <v>-0.65509140945956723</v>
      </c>
      <c r="I53" s="119">
        <f t="shared" si="53"/>
        <v>-0.48794963846672168</v>
      </c>
      <c r="J53" s="119">
        <f t="shared" si="53"/>
        <v>-0.49074136096724852</v>
      </c>
    </row>
    <row r="54" spans="1:10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</row>
    <row r="55" spans="1:10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</row>
    <row r="56" spans="1:10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</row>
    <row r="57" spans="1:10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</row>
    <row r="58" spans="1:10" x14ac:dyDescent="0.25">
      <c r="A58" s="139">
        <f t="shared" si="48"/>
        <v>-4.2621624311748166E-2</v>
      </c>
      <c r="B58" s="139">
        <f t="shared" si="49"/>
        <v>5.8397792720767901E-2</v>
      </c>
      <c r="C58" s="155">
        <f t="shared" si="50"/>
        <v>5.7594509725046299E-3</v>
      </c>
      <c r="D58" s="156">
        <f t="shared" si="51"/>
        <v>3.6308177404993942E-3</v>
      </c>
      <c r="E58" s="50" t="s">
        <v>356</v>
      </c>
      <c r="F58" s="71">
        <f>F68/(F70+F71+F72+F73+F74+F75)</f>
        <v>1.7445416898749285E-2</v>
      </c>
      <c r="G58" s="162"/>
      <c r="H58" s="71">
        <f t="shared" ref="H58:J58" si="54">H68/(H70+H71+H72+H73+H74)</f>
        <v>-4.2621624311748166E-2</v>
      </c>
      <c r="I58" s="71">
        <f t="shared" si="54"/>
        <v>5.8397792720767901E-2</v>
      </c>
      <c r="J58" s="71">
        <f t="shared" si="54"/>
        <v>-1.0183781417750499E-2</v>
      </c>
    </row>
    <row r="59" spans="1:10" x14ac:dyDescent="0.25">
      <c r="A59" s="139">
        <f t="shared" si="48"/>
        <v>-4.2621624311748166E-2</v>
      </c>
      <c r="B59" s="139">
        <f t="shared" si="49"/>
        <v>5.8258269863383984E-2</v>
      </c>
      <c r="C59" s="155">
        <f t="shared" si="50"/>
        <v>5.7245702581586507E-3</v>
      </c>
      <c r="D59" s="156">
        <f t="shared" si="51"/>
        <v>3.6308177404993942E-3</v>
      </c>
      <c r="E59" s="50" t="s">
        <v>361</v>
      </c>
      <c r="F59" s="71">
        <f>F69/(F70+F71+F72+F73+F74+F75)</f>
        <v>1.7445416898749285E-2</v>
      </c>
      <c r="G59" s="162"/>
      <c r="H59" s="71">
        <f t="shared" ref="H59:J59" si="55">H69/(H70+H71+H72+H73+H74+H75)</f>
        <v>-4.2621624311748166E-2</v>
      </c>
      <c r="I59" s="71">
        <f t="shared" si="55"/>
        <v>5.8258269863383984E-2</v>
      </c>
      <c r="J59" s="71">
        <f t="shared" si="55"/>
        <v>-1.0183781417750499E-2</v>
      </c>
    </row>
    <row r="60" spans="1:10" ht="26.4" x14ac:dyDescent="0.25">
      <c r="A60" s="139">
        <f t="shared" si="48"/>
        <v>-0.2042519027726796</v>
      </c>
      <c r="B60" s="139">
        <f t="shared" si="49"/>
        <v>0.18614509167511611</v>
      </c>
      <c r="C60" s="160">
        <f t="shared" si="50"/>
        <v>1.8430585998448338E-3</v>
      </c>
      <c r="D60" s="160">
        <f t="shared" si="51"/>
        <v>0</v>
      </c>
      <c r="E60" s="50" t="s">
        <v>372</v>
      </c>
      <c r="F60" s="119">
        <f>F65/F79*100%</f>
        <v>8.3230981286610398E-2</v>
      </c>
      <c r="G60" s="119">
        <f t="shared" ref="G60:J60" si="56">G65/G79*100%</f>
        <v>0</v>
      </c>
      <c r="H60" s="119">
        <f t="shared" si="56"/>
        <v>-0.2042519027726796</v>
      </c>
      <c r="I60" s="119">
        <f t="shared" si="56"/>
        <v>0.18614509167511611</v>
      </c>
      <c r="J60" s="119">
        <f t="shared" si="56"/>
        <v>-5.5908877189822744E-2</v>
      </c>
    </row>
    <row r="61" spans="1:10" x14ac:dyDescent="0.25">
      <c r="A61" s="139">
        <f t="shared" si="48"/>
        <v>-0.20425650338527856</v>
      </c>
      <c r="B61" s="139">
        <f t="shared" si="49"/>
        <v>0.18569977544186156</v>
      </c>
      <c r="C61" s="155">
        <f t="shared" si="50"/>
        <v>1.6024901556815907E-3</v>
      </c>
      <c r="D61" s="156">
        <f t="shared" si="51"/>
        <v>0</v>
      </c>
      <c r="E61" s="50" t="s">
        <v>373</v>
      </c>
      <c r="F61" s="71">
        <f>F69/F79</f>
        <v>8.3230981286610398E-2</v>
      </c>
      <c r="G61" s="71">
        <f t="shared" ref="G61:J61" si="57">G69/G79</f>
        <v>0</v>
      </c>
      <c r="H61" s="71">
        <f t="shared" si="57"/>
        <v>-0.20425650338527856</v>
      </c>
      <c r="I61" s="71">
        <f t="shared" si="57"/>
        <v>0.18569977544186156</v>
      </c>
      <c r="J61" s="71">
        <f t="shared" si="57"/>
        <v>-5.6661802564785438E-2</v>
      </c>
    </row>
    <row r="62" spans="1:10" x14ac:dyDescent="0.25">
      <c r="A62" s="139">
        <f t="shared" si="48"/>
        <v>-42.946856330649283</v>
      </c>
      <c r="B62" s="139">
        <f t="shared" si="49"/>
        <v>0.13995200265381877</v>
      </c>
      <c r="C62" s="155">
        <f t="shared" si="50"/>
        <v>-12.768689069171511</v>
      </c>
      <c r="D62" s="156">
        <f t="shared" si="51"/>
        <v>-1.9539447221686026</v>
      </c>
      <c r="E62" s="50" t="s">
        <v>374</v>
      </c>
      <c r="F62" s="71">
        <f>F69/F80</f>
        <v>0.13995200265381877</v>
      </c>
      <c r="G62" s="71">
        <f>G66/G80</f>
        <v>0</v>
      </c>
      <c r="H62" s="71">
        <f>H66/H80</f>
        <v>-19.082596295693495</v>
      </c>
      <c r="I62" s="71">
        <f>I66/I80</f>
        <v>-1.9539447221686026</v>
      </c>
      <c r="J62" s="71">
        <f>J66/J80</f>
        <v>-42.946856330649283</v>
      </c>
    </row>
    <row r="63" spans="1:10" ht="13.8" thickBot="1" x14ac:dyDescent="0.3">
      <c r="A63" s="139">
        <f t="shared" si="48"/>
        <v>-1.9975756943747338</v>
      </c>
      <c r="B63" s="139">
        <f t="shared" si="49"/>
        <v>0.37505166503301468</v>
      </c>
      <c r="C63" s="155">
        <f t="shared" si="50"/>
        <v>-0.40740472176326897</v>
      </c>
      <c r="D63" s="156">
        <f t="shared" si="51"/>
        <v>0</v>
      </c>
      <c r="E63" s="51" t="s">
        <v>302</v>
      </c>
      <c r="F63" s="73">
        <f t="shared" ref="F63:J63" si="58">F65/(F80+F81)</f>
        <v>0.13995200265381877</v>
      </c>
      <c r="G63" s="73">
        <f t="shared" si="58"/>
        <v>0</v>
      </c>
      <c r="H63" s="73">
        <f t="shared" si="58"/>
        <v>-1.9975756943747338</v>
      </c>
      <c r="I63" s="73">
        <f t="shared" si="58"/>
        <v>0.37505166503301468</v>
      </c>
      <c r="J63" s="73">
        <f t="shared" si="58"/>
        <v>-0.55445158212844448</v>
      </c>
    </row>
    <row r="64" spans="1:10" x14ac:dyDescent="0.25">
      <c r="F64" s="43"/>
      <c r="G64" s="43"/>
      <c r="H64" s="43"/>
      <c r="I64" s="43"/>
      <c r="J64" s="43"/>
    </row>
    <row r="65" spans="5:11" x14ac:dyDescent="0.25">
      <c r="E65" s="52" t="s">
        <v>360</v>
      </c>
      <c r="F65" s="76">
        <f>F268</f>
        <v>72067.02</v>
      </c>
      <c r="G65" s="76">
        <f t="shared" ref="G65:J65" si="59">G268</f>
        <v>0</v>
      </c>
      <c r="H65" s="76">
        <f t="shared" si="59"/>
        <v>-122978.79</v>
      </c>
      <c r="I65" s="76">
        <f t="shared" si="59"/>
        <v>169096.18</v>
      </c>
      <c r="J65" s="76">
        <f t="shared" si="59"/>
        <v>-26827.040000000001</v>
      </c>
    </row>
    <row r="66" spans="5:11" ht="26.4" x14ac:dyDescent="0.25">
      <c r="E66" s="52" t="s">
        <v>352</v>
      </c>
      <c r="F66" s="76">
        <f>F258</f>
        <v>-1044777.96</v>
      </c>
      <c r="G66" s="76">
        <f t="shared" ref="G66:J66" si="60">G258</f>
        <v>0</v>
      </c>
      <c r="H66" s="76">
        <f t="shared" si="60"/>
        <v>-1174801.3400000001</v>
      </c>
      <c r="I66" s="76">
        <f t="shared" si="60"/>
        <v>-880957.53</v>
      </c>
      <c r="J66" s="76">
        <f t="shared" si="60"/>
        <v>-885004.58</v>
      </c>
    </row>
    <row r="67" spans="5:11" x14ac:dyDescent="0.25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5">
      <c r="E68" s="43" t="s">
        <v>341</v>
      </c>
      <c r="F68" s="76">
        <f>F292</f>
        <v>72067.02</v>
      </c>
      <c r="G68" s="76">
        <f t="shared" ref="G68:J68" si="61">G292</f>
        <v>0</v>
      </c>
      <c r="H68" s="76">
        <f t="shared" si="61"/>
        <v>-122981.56</v>
      </c>
      <c r="I68" s="76">
        <f t="shared" si="61"/>
        <v>169095.65</v>
      </c>
      <c r="J68" s="76">
        <f t="shared" si="61"/>
        <v>-27188.32</v>
      </c>
    </row>
    <row r="69" spans="5:11" x14ac:dyDescent="0.25">
      <c r="E69" s="43" t="s">
        <v>315</v>
      </c>
      <c r="F69" s="76">
        <f>F295</f>
        <v>72067.02</v>
      </c>
      <c r="G69" s="76">
        <f t="shared" ref="G69:J69" si="62">G295</f>
        <v>0</v>
      </c>
      <c r="H69" s="76">
        <f t="shared" si="62"/>
        <v>-122981.56</v>
      </c>
      <c r="I69" s="76">
        <f t="shared" si="62"/>
        <v>168691.65</v>
      </c>
      <c r="J69" s="76">
        <f t="shared" si="62"/>
        <v>-27188.32</v>
      </c>
    </row>
    <row r="70" spans="5:11" x14ac:dyDescent="0.25">
      <c r="E70" s="43" t="s">
        <v>358</v>
      </c>
      <c r="F70" s="76">
        <f>F241</f>
        <v>3014155.18</v>
      </c>
      <c r="G70" s="76">
        <f t="shared" ref="G70:J70" si="63">G241</f>
        <v>0</v>
      </c>
      <c r="H70" s="76">
        <f t="shared" si="63"/>
        <v>1793339.56</v>
      </c>
      <c r="I70" s="76">
        <f t="shared" si="63"/>
        <v>1805427.16</v>
      </c>
      <c r="J70" s="76">
        <f t="shared" si="63"/>
        <v>1803403.28</v>
      </c>
    </row>
    <row r="71" spans="5:11" x14ac:dyDescent="0.25">
      <c r="E71" s="43" t="s">
        <v>359</v>
      </c>
      <c r="F71" s="76">
        <f>F259</f>
        <v>1116844.98</v>
      </c>
      <c r="G71" s="76">
        <f t="shared" ref="G71:J71" si="64">G259</f>
        <v>0</v>
      </c>
      <c r="H71" s="76">
        <f t="shared" si="64"/>
        <v>1092086.8400000001</v>
      </c>
      <c r="I71" s="76">
        <f t="shared" si="64"/>
        <v>1090155.74</v>
      </c>
      <c r="J71" s="76">
        <f t="shared" si="64"/>
        <v>866363.37</v>
      </c>
    </row>
    <row r="72" spans="5:11" x14ac:dyDescent="0.25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5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5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5">
      <c r="E75" s="43" t="s">
        <v>357</v>
      </c>
      <c r="F75" s="76">
        <f>F269</f>
        <v>0</v>
      </c>
      <c r="G75" s="76">
        <f t="shared" ref="G75:J75" si="65">G269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</row>
    <row r="76" spans="5:11" x14ac:dyDescent="0.25">
      <c r="E76" s="43" t="s">
        <v>353</v>
      </c>
      <c r="F76" s="43"/>
      <c r="G76" s="43"/>
      <c r="H76" s="43"/>
      <c r="I76" s="43"/>
      <c r="J76" s="43"/>
      <c r="K76" s="43" t="s">
        <v>379</v>
      </c>
    </row>
    <row r="77" spans="5:11" x14ac:dyDescent="0.25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5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5">
      <c r="E79" s="43" t="s">
        <v>316</v>
      </c>
      <c r="F79" s="76">
        <f>F171</f>
        <v>865867.72</v>
      </c>
      <c r="G79" s="76">
        <f t="shared" ref="G79:J79" si="66">G171</f>
        <v>675183.02</v>
      </c>
      <c r="H79" s="76">
        <f t="shared" si="66"/>
        <v>602093.73</v>
      </c>
      <c r="I79" s="76">
        <f t="shared" si="66"/>
        <v>908410.63</v>
      </c>
      <c r="J79" s="76">
        <f t="shared" si="66"/>
        <v>479835.07</v>
      </c>
    </row>
    <row r="80" spans="5:11" x14ac:dyDescent="0.25">
      <c r="E80" s="43" t="s">
        <v>311</v>
      </c>
      <c r="F80" s="76">
        <f>F172</f>
        <v>514940.97</v>
      </c>
      <c r="G80" s="76">
        <f t="shared" ref="G80:J80" si="67">G172</f>
        <v>263448.14</v>
      </c>
      <c r="H80" s="76">
        <f t="shared" si="67"/>
        <v>61564.02</v>
      </c>
      <c r="I80" s="76">
        <f t="shared" si="67"/>
        <v>450861.03</v>
      </c>
      <c r="J80" s="76">
        <f t="shared" si="67"/>
        <v>20606.97</v>
      </c>
    </row>
    <row r="81" spans="5:11" x14ac:dyDescent="0.25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27777.85</v>
      </c>
    </row>
    <row r="82" spans="5:11" x14ac:dyDescent="0.25">
      <c r="F82" s="43"/>
      <c r="G82" s="43"/>
      <c r="H82" s="43"/>
      <c r="I82" s="43"/>
      <c r="J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101</v>
      </c>
      <c r="K83" s="105"/>
    </row>
    <row r="84" spans="5:11" x14ac:dyDescent="0.25">
      <c r="E84" s="94" t="s">
        <v>102</v>
      </c>
      <c r="F84" s="97">
        <v>238130.92</v>
      </c>
      <c r="G84" s="97">
        <v>97802.99</v>
      </c>
      <c r="H84" s="97">
        <v>135815.59</v>
      </c>
      <c r="I84" s="97">
        <v>239968.51</v>
      </c>
      <c r="J84" s="97">
        <v>163091.70000000001</v>
      </c>
      <c r="K84" s="97"/>
    </row>
    <row r="85" spans="5:11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5">
      <c r="E86" s="94" t="s">
        <v>104</v>
      </c>
      <c r="F86" s="97"/>
      <c r="G86" s="97"/>
      <c r="H86" s="97">
        <v>0</v>
      </c>
      <c r="I86" s="97">
        <v>0</v>
      </c>
      <c r="J86" s="97"/>
      <c r="K86" s="97"/>
    </row>
    <row r="87" spans="5:11" x14ac:dyDescent="0.25">
      <c r="E87" s="94" t="s">
        <v>105</v>
      </c>
      <c r="F87" s="97"/>
      <c r="G87" s="97"/>
      <c r="H87" s="97">
        <v>0</v>
      </c>
      <c r="I87" s="97">
        <v>0</v>
      </c>
      <c r="J87" s="97"/>
      <c r="K87" s="97"/>
    </row>
    <row r="88" spans="5:11" x14ac:dyDescent="0.25">
      <c r="E88" s="94" t="s">
        <v>106</v>
      </c>
      <c r="F88" s="97">
        <v>0</v>
      </c>
      <c r="G88" s="97"/>
      <c r="H88" s="97">
        <v>0</v>
      </c>
      <c r="I88" s="97">
        <v>0</v>
      </c>
      <c r="J88" s="97"/>
      <c r="K88" s="97"/>
    </row>
    <row r="89" spans="5:11" x14ac:dyDescent="0.25">
      <c r="E89" s="94" t="s">
        <v>107</v>
      </c>
      <c r="F89" s="97"/>
      <c r="G89" s="97"/>
      <c r="H89" s="97">
        <v>0</v>
      </c>
      <c r="I89" s="97">
        <v>0</v>
      </c>
      <c r="J89" s="97"/>
      <c r="K89" s="97"/>
    </row>
    <row r="90" spans="5:11" x14ac:dyDescent="0.25">
      <c r="E90" s="94" t="s">
        <v>108</v>
      </c>
      <c r="F90" s="97">
        <v>238130.92</v>
      </c>
      <c r="G90" s="97">
        <v>97802.99</v>
      </c>
      <c r="H90" s="97">
        <v>135815.59</v>
      </c>
      <c r="I90" s="97">
        <v>239968.51</v>
      </c>
      <c r="J90" s="97">
        <v>163091.70000000001</v>
      </c>
      <c r="K90" s="97"/>
    </row>
    <row r="91" spans="5:11" x14ac:dyDescent="0.25">
      <c r="E91" s="94" t="s">
        <v>109</v>
      </c>
      <c r="F91" s="97">
        <v>224716.29</v>
      </c>
      <c r="G91" s="97">
        <v>97802.99</v>
      </c>
      <c r="H91" s="97">
        <v>135815.59</v>
      </c>
      <c r="I91" s="97">
        <v>239968.51</v>
      </c>
      <c r="J91" s="97">
        <v>163091.70000000001</v>
      </c>
      <c r="K91" s="97"/>
    </row>
    <row r="92" spans="5:11" x14ac:dyDescent="0.25">
      <c r="E92" s="94" t="s">
        <v>110</v>
      </c>
      <c r="F92" s="97"/>
      <c r="G92" s="97"/>
      <c r="H92" s="97">
        <v>0</v>
      </c>
      <c r="I92" s="97">
        <v>0</v>
      </c>
      <c r="J92" s="97"/>
      <c r="K92" s="97"/>
    </row>
    <row r="93" spans="5:11" x14ac:dyDescent="0.25">
      <c r="E93" s="94" t="s">
        <v>111</v>
      </c>
      <c r="F93" s="97"/>
      <c r="G93" s="97"/>
      <c r="H93" s="97">
        <v>0</v>
      </c>
      <c r="I93" s="97">
        <v>0</v>
      </c>
      <c r="J93" s="97"/>
      <c r="K93" s="97"/>
    </row>
    <row r="94" spans="5:11" x14ac:dyDescent="0.25">
      <c r="E94" s="94" t="s">
        <v>112</v>
      </c>
      <c r="F94" s="97">
        <v>106433.92</v>
      </c>
      <c r="G94" s="97"/>
      <c r="H94" s="97">
        <v>95879.2</v>
      </c>
      <c r="I94" s="97">
        <v>114955.66</v>
      </c>
      <c r="J94" s="97">
        <v>82518.429999999993</v>
      </c>
      <c r="K94" s="97"/>
    </row>
    <row r="95" spans="5:11" x14ac:dyDescent="0.25">
      <c r="E95" s="94" t="s">
        <v>113</v>
      </c>
      <c r="F95" s="97">
        <v>66874.720000000001</v>
      </c>
      <c r="G95" s="97"/>
      <c r="H95" s="97">
        <v>27360.47</v>
      </c>
      <c r="I95" s="97">
        <v>95676.64</v>
      </c>
      <c r="J95" s="97">
        <v>80573.27</v>
      </c>
      <c r="K95" s="97"/>
    </row>
    <row r="96" spans="5:11" x14ac:dyDescent="0.25">
      <c r="E96" s="94" t="s">
        <v>114</v>
      </c>
      <c r="F96" s="97">
        <v>51407.65</v>
      </c>
      <c r="G96" s="97"/>
      <c r="H96" s="97">
        <v>12575.92</v>
      </c>
      <c r="I96" s="97">
        <v>29336.21</v>
      </c>
      <c r="J96" s="97"/>
      <c r="K96" s="97"/>
    </row>
    <row r="97" spans="5:11" x14ac:dyDescent="0.25">
      <c r="E97" s="94" t="s">
        <v>115</v>
      </c>
      <c r="F97" s="97">
        <v>0</v>
      </c>
      <c r="G97" s="97">
        <v>0</v>
      </c>
      <c r="H97" s="97">
        <v>0</v>
      </c>
      <c r="I97" s="97">
        <v>0</v>
      </c>
      <c r="J97" s="97"/>
      <c r="K97" s="97"/>
    </row>
    <row r="98" spans="5:11" x14ac:dyDescent="0.25">
      <c r="E98" s="94" t="s">
        <v>116</v>
      </c>
      <c r="F98" s="97">
        <v>13414.63</v>
      </c>
      <c r="G98" s="97"/>
      <c r="H98" s="97">
        <v>0</v>
      </c>
      <c r="I98" s="97">
        <v>0</v>
      </c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</row>
    <row r="100" spans="5:11" x14ac:dyDescent="0.25">
      <c r="E100" s="94" t="s">
        <v>118</v>
      </c>
      <c r="F100" s="97"/>
      <c r="G100" s="97"/>
      <c r="H100" s="97">
        <v>0</v>
      </c>
      <c r="I100" s="97">
        <v>0</v>
      </c>
      <c r="J100" s="97"/>
      <c r="K100" s="97"/>
    </row>
    <row r="101" spans="5:11" x14ac:dyDescent="0.25">
      <c r="E101" s="94" t="s">
        <v>119</v>
      </c>
      <c r="F101" s="97"/>
      <c r="G101" s="97"/>
      <c r="H101" s="97">
        <v>0</v>
      </c>
      <c r="I101" s="97">
        <v>0</v>
      </c>
      <c r="J101" s="97"/>
      <c r="K101" s="97"/>
    </row>
    <row r="102" spans="5:11" x14ac:dyDescent="0.25">
      <c r="E102" s="94" t="s">
        <v>120</v>
      </c>
      <c r="F102" s="97"/>
      <c r="G102" s="97"/>
      <c r="H102" s="97">
        <v>0</v>
      </c>
      <c r="I102" s="97">
        <v>0</v>
      </c>
      <c r="J102" s="97"/>
      <c r="K102" s="97"/>
    </row>
    <row r="103" spans="5:11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5">
      <c r="E104" s="94" t="s">
        <v>122</v>
      </c>
      <c r="F104" s="97"/>
      <c r="G104" s="97">
        <v>0</v>
      </c>
      <c r="H104" s="97">
        <v>0</v>
      </c>
      <c r="I104" s="97">
        <v>0</v>
      </c>
      <c r="J104" s="97"/>
      <c r="K104" s="97"/>
    </row>
    <row r="105" spans="5:11" x14ac:dyDescent="0.25">
      <c r="E105" s="94" t="s">
        <v>123</v>
      </c>
      <c r="F105" s="97"/>
      <c r="G105" s="97"/>
      <c r="H105" s="97">
        <v>0</v>
      </c>
      <c r="I105" s="97">
        <v>0</v>
      </c>
      <c r="J105" s="97"/>
      <c r="K105" s="97"/>
    </row>
    <row r="106" spans="5:11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/>
      <c r="K106" s="97"/>
    </row>
    <row r="107" spans="5:11" x14ac:dyDescent="0.25">
      <c r="E107" s="94" t="s">
        <v>125</v>
      </c>
      <c r="F107" s="97">
        <v>0</v>
      </c>
      <c r="G107" s="97"/>
      <c r="H107" s="97">
        <v>0</v>
      </c>
      <c r="I107" s="97">
        <v>0</v>
      </c>
      <c r="J107" s="97"/>
      <c r="K107" s="97"/>
    </row>
    <row r="108" spans="5:11" x14ac:dyDescent="0.25">
      <c r="E108" s="94" t="s">
        <v>126</v>
      </c>
      <c r="F108" s="97"/>
      <c r="G108" s="97"/>
      <c r="H108" s="97">
        <v>0</v>
      </c>
      <c r="I108" s="97">
        <v>0</v>
      </c>
      <c r="J108" s="97"/>
      <c r="K108" s="97"/>
    </row>
    <row r="109" spans="5:11" ht="15" customHeight="1" x14ac:dyDescent="0.25">
      <c r="E109" s="94" t="s">
        <v>127</v>
      </c>
      <c r="F109" s="97"/>
      <c r="G109" s="97"/>
      <c r="H109" s="97">
        <v>0</v>
      </c>
      <c r="I109" s="97">
        <v>0</v>
      </c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>
        <v>0</v>
      </c>
      <c r="I110" s="97">
        <v>0</v>
      </c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>
        <v>0</v>
      </c>
      <c r="I111" s="97">
        <v>0</v>
      </c>
      <c r="J111" s="97"/>
      <c r="K111" s="97"/>
    </row>
    <row r="112" spans="5:11" ht="15" customHeight="1" x14ac:dyDescent="0.25">
      <c r="E112" s="94" t="s">
        <v>130</v>
      </c>
      <c r="F112" s="97">
        <v>0</v>
      </c>
      <c r="G112" s="97"/>
      <c r="H112" s="97">
        <v>0</v>
      </c>
      <c r="I112" s="97">
        <v>0</v>
      </c>
      <c r="J112" s="97"/>
      <c r="K112" s="97"/>
    </row>
    <row r="113" spans="5:11" ht="15" customHeight="1" x14ac:dyDescent="0.25">
      <c r="E113" s="94" t="s">
        <v>126</v>
      </c>
      <c r="F113" s="97"/>
      <c r="G113" s="97"/>
      <c r="H113" s="97">
        <v>0</v>
      </c>
      <c r="I113" s="97">
        <v>0</v>
      </c>
      <c r="J113" s="97"/>
      <c r="K113" s="97"/>
    </row>
    <row r="114" spans="5:11" x14ac:dyDescent="0.25">
      <c r="E114" s="94" t="s">
        <v>127</v>
      </c>
      <c r="F114" s="97"/>
      <c r="G114" s="97"/>
      <c r="H114" s="97">
        <v>0</v>
      </c>
      <c r="I114" s="97">
        <v>0</v>
      </c>
      <c r="J114" s="97"/>
      <c r="K114" s="97"/>
    </row>
    <row r="115" spans="5:11" x14ac:dyDescent="0.25">
      <c r="E115" s="94" t="s">
        <v>128</v>
      </c>
      <c r="F115" s="97"/>
      <c r="G115" s="97"/>
      <c r="H115" s="97">
        <v>0</v>
      </c>
      <c r="I115" s="97">
        <v>0</v>
      </c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>
        <v>0</v>
      </c>
      <c r="I116" s="97">
        <v>0</v>
      </c>
      <c r="J116" s="97"/>
      <c r="K116" s="97"/>
    </row>
    <row r="117" spans="5:11" ht="15" customHeight="1" x14ac:dyDescent="0.25">
      <c r="E117" s="94" t="s">
        <v>131</v>
      </c>
      <c r="F117" s="97">
        <v>0</v>
      </c>
      <c r="G117" s="97"/>
      <c r="H117" s="97">
        <v>0</v>
      </c>
      <c r="I117" s="97">
        <v>0</v>
      </c>
      <c r="J117" s="97"/>
      <c r="K117" s="97"/>
    </row>
    <row r="118" spans="5:11" ht="15" customHeight="1" x14ac:dyDescent="0.25">
      <c r="E118" s="94" t="s">
        <v>126</v>
      </c>
      <c r="F118" s="97"/>
      <c r="G118" s="97"/>
      <c r="H118" s="97">
        <v>0</v>
      </c>
      <c r="I118" s="97">
        <v>0</v>
      </c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>
        <v>0</v>
      </c>
      <c r="I119" s="97">
        <v>0</v>
      </c>
      <c r="J119" s="97"/>
      <c r="K119" s="97"/>
    </row>
    <row r="120" spans="5:11" x14ac:dyDescent="0.25">
      <c r="E120" s="94" t="s">
        <v>128</v>
      </c>
      <c r="F120" s="97"/>
      <c r="G120" s="97"/>
      <c r="H120" s="97">
        <v>0</v>
      </c>
      <c r="I120" s="97">
        <v>0</v>
      </c>
      <c r="J120" s="97"/>
      <c r="K120" s="97"/>
    </row>
    <row r="121" spans="5:11" x14ac:dyDescent="0.25">
      <c r="E121" s="94" t="s">
        <v>129</v>
      </c>
      <c r="F121" s="97"/>
      <c r="G121" s="97"/>
      <c r="H121" s="97">
        <v>0</v>
      </c>
      <c r="I121" s="97">
        <v>0</v>
      </c>
      <c r="J121" s="97"/>
      <c r="K121" s="97"/>
    </row>
    <row r="122" spans="5:11" x14ac:dyDescent="0.25">
      <c r="E122" s="94" t="s">
        <v>132</v>
      </c>
      <c r="F122" s="97"/>
      <c r="G122" s="97"/>
      <c r="H122" s="97">
        <v>0</v>
      </c>
      <c r="I122" s="97">
        <v>0</v>
      </c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5">
      <c r="E124" s="94" t="s">
        <v>134</v>
      </c>
      <c r="F124" s="97"/>
      <c r="G124" s="97"/>
      <c r="H124" s="97">
        <v>0</v>
      </c>
      <c r="I124" s="97">
        <v>0</v>
      </c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>
        <v>0</v>
      </c>
      <c r="I125" s="97">
        <v>0</v>
      </c>
      <c r="J125" s="97"/>
      <c r="K125" s="97"/>
    </row>
    <row r="126" spans="5:11" x14ac:dyDescent="0.25">
      <c r="E126" s="94" t="s">
        <v>136</v>
      </c>
      <c r="F126" s="97">
        <v>627736.80000000005</v>
      </c>
      <c r="G126" s="97">
        <v>577380.03</v>
      </c>
      <c r="H126" s="97">
        <v>466278.14</v>
      </c>
      <c r="I126" s="97">
        <v>668442.12</v>
      </c>
      <c r="J126" s="97">
        <v>316743.37</v>
      </c>
      <c r="K126" s="97"/>
    </row>
    <row r="127" spans="5:11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5">
      <c r="E128" s="94" t="s">
        <v>138</v>
      </c>
      <c r="F128" s="97"/>
      <c r="G128" s="97"/>
      <c r="H128" s="97">
        <v>0</v>
      </c>
      <c r="I128" s="97">
        <v>0</v>
      </c>
      <c r="J128" s="97"/>
      <c r="K128" s="97"/>
    </row>
    <row r="129" spans="5:11" ht="15" customHeight="1" x14ac:dyDescent="0.25">
      <c r="E129" s="94" t="s">
        <v>139</v>
      </c>
      <c r="F129" s="97"/>
      <c r="G129" s="97"/>
      <c r="H129" s="97">
        <v>0</v>
      </c>
      <c r="I129" s="97">
        <v>0</v>
      </c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>
        <v>0</v>
      </c>
      <c r="I130" s="97">
        <v>0</v>
      </c>
      <c r="J130" s="97"/>
      <c r="K130" s="97"/>
    </row>
    <row r="131" spans="5:11" ht="15" customHeight="1" x14ac:dyDescent="0.25">
      <c r="E131" s="94" t="s">
        <v>141</v>
      </c>
      <c r="F131" s="97">
        <v>0</v>
      </c>
      <c r="G131" s="97"/>
      <c r="H131" s="97">
        <v>0</v>
      </c>
      <c r="I131" s="97">
        <v>0</v>
      </c>
      <c r="J131" s="97"/>
      <c r="K131" s="97"/>
    </row>
    <row r="132" spans="5:11" x14ac:dyDescent="0.25">
      <c r="E132" s="94" t="s">
        <v>142</v>
      </c>
      <c r="F132" s="97">
        <v>0</v>
      </c>
      <c r="G132" s="97"/>
      <c r="H132" s="97">
        <v>0</v>
      </c>
      <c r="I132" s="97">
        <v>0</v>
      </c>
      <c r="J132" s="97"/>
      <c r="K132" s="97"/>
    </row>
    <row r="133" spans="5:11" x14ac:dyDescent="0.25">
      <c r="E133" s="94" t="s">
        <v>143</v>
      </c>
      <c r="F133" s="97">
        <v>405144.29</v>
      </c>
      <c r="G133" s="97">
        <v>300056.31</v>
      </c>
      <c r="H133" s="97">
        <v>209653.41</v>
      </c>
      <c r="I133" s="97">
        <v>435168.1</v>
      </c>
      <c r="J133" s="97">
        <v>112092.89</v>
      </c>
      <c r="K133" s="97"/>
    </row>
    <row r="134" spans="5:11" x14ac:dyDescent="0.25">
      <c r="E134" s="94" t="s">
        <v>144</v>
      </c>
      <c r="F134" s="97">
        <v>278955.64</v>
      </c>
      <c r="G134" s="97"/>
      <c r="H134" s="97">
        <v>0</v>
      </c>
      <c r="I134" s="97">
        <v>0</v>
      </c>
      <c r="J134" s="97"/>
      <c r="K134" s="97"/>
    </row>
    <row r="135" spans="5:11" x14ac:dyDescent="0.25">
      <c r="E135" s="94" t="s">
        <v>145</v>
      </c>
      <c r="F135" s="97">
        <v>278955.64</v>
      </c>
      <c r="G135" s="97">
        <v>234425.93</v>
      </c>
      <c r="H135" s="97">
        <v>0</v>
      </c>
      <c r="I135" s="97">
        <v>0</v>
      </c>
      <c r="J135" s="97"/>
      <c r="K135" s="97"/>
    </row>
    <row r="136" spans="5:11" x14ac:dyDescent="0.25">
      <c r="E136" s="94" t="s">
        <v>146</v>
      </c>
      <c r="F136" s="97">
        <v>278955.64</v>
      </c>
      <c r="G136" s="97"/>
      <c r="H136" s="97">
        <v>0</v>
      </c>
      <c r="I136" s="97">
        <v>0</v>
      </c>
      <c r="J136" s="97"/>
      <c r="K136" s="97"/>
    </row>
    <row r="137" spans="5:11" x14ac:dyDescent="0.25">
      <c r="E137" s="94" t="s">
        <v>147</v>
      </c>
      <c r="F137" s="97"/>
      <c r="G137" s="97"/>
      <c r="H137" s="97">
        <v>0</v>
      </c>
      <c r="I137" s="97">
        <v>0</v>
      </c>
      <c r="J137" s="97"/>
      <c r="K137" s="97"/>
    </row>
    <row r="138" spans="5:11" x14ac:dyDescent="0.25">
      <c r="E138" s="94" t="s">
        <v>148</v>
      </c>
      <c r="F138" s="97"/>
      <c r="G138" s="97"/>
      <c r="H138" s="97">
        <v>0</v>
      </c>
      <c r="I138" s="97">
        <v>0</v>
      </c>
      <c r="J138" s="97"/>
      <c r="K138" s="97"/>
    </row>
    <row r="139" spans="5:11" x14ac:dyDescent="0.25">
      <c r="E139" s="94" t="s">
        <v>149</v>
      </c>
      <c r="F139" s="97">
        <v>0</v>
      </c>
      <c r="G139" s="97"/>
      <c r="H139" s="97">
        <v>0</v>
      </c>
      <c r="I139" s="97">
        <v>0</v>
      </c>
      <c r="J139" s="97"/>
      <c r="K139" s="97"/>
    </row>
    <row r="140" spans="5:11" x14ac:dyDescent="0.25">
      <c r="E140" s="94" t="s">
        <v>145</v>
      </c>
      <c r="F140" s="97">
        <v>0</v>
      </c>
      <c r="G140" s="97"/>
      <c r="H140" s="97">
        <v>0</v>
      </c>
      <c r="I140" s="97">
        <v>0</v>
      </c>
      <c r="J140" s="97"/>
      <c r="K140" s="97"/>
    </row>
    <row r="141" spans="5:11" x14ac:dyDescent="0.25">
      <c r="E141" s="94" t="s">
        <v>146</v>
      </c>
      <c r="F141" s="97"/>
      <c r="G141" s="97"/>
      <c r="H141" s="97">
        <v>0</v>
      </c>
      <c r="I141" s="97">
        <v>0</v>
      </c>
      <c r="J141" s="97"/>
      <c r="K141" s="97"/>
    </row>
    <row r="142" spans="5:11" x14ac:dyDescent="0.25">
      <c r="E142" s="94" t="s">
        <v>147</v>
      </c>
      <c r="F142" s="97"/>
      <c r="G142" s="97"/>
      <c r="H142" s="97">
        <v>0</v>
      </c>
      <c r="I142" s="97">
        <v>0</v>
      </c>
      <c r="J142" s="97"/>
      <c r="K142" s="97"/>
    </row>
    <row r="143" spans="5:11" x14ac:dyDescent="0.25">
      <c r="E143" s="94" t="s">
        <v>148</v>
      </c>
      <c r="F143" s="97"/>
      <c r="G143" s="97"/>
      <c r="H143" s="97">
        <v>0</v>
      </c>
      <c r="I143" s="97">
        <v>0</v>
      </c>
      <c r="J143" s="97"/>
      <c r="K143" s="97"/>
    </row>
    <row r="144" spans="5:11" x14ac:dyDescent="0.25">
      <c r="E144" s="94" t="s">
        <v>150</v>
      </c>
      <c r="F144" s="97">
        <v>126188.65</v>
      </c>
      <c r="G144" s="97"/>
      <c r="H144" s="97">
        <v>209653.41</v>
      </c>
      <c r="I144" s="97">
        <v>435168.1</v>
      </c>
      <c r="J144" s="97">
        <v>112092.89</v>
      </c>
      <c r="K144" s="97"/>
    </row>
    <row r="145" spans="5:11" x14ac:dyDescent="0.25">
      <c r="E145" s="94" t="s">
        <v>145</v>
      </c>
      <c r="F145" s="97">
        <v>15514.28</v>
      </c>
      <c r="G145" s="97"/>
      <c r="H145" s="97">
        <v>149723.23000000001</v>
      </c>
      <c r="I145" s="97">
        <v>254688.53</v>
      </c>
      <c r="J145" s="97">
        <v>89557.47</v>
      </c>
      <c r="K145" s="97"/>
    </row>
    <row r="146" spans="5:11" x14ac:dyDescent="0.25">
      <c r="E146" s="94" t="s">
        <v>146</v>
      </c>
      <c r="F146" s="97">
        <v>15514.28</v>
      </c>
      <c r="G146" s="97"/>
      <c r="H146" s="97">
        <v>149723.23000000001</v>
      </c>
      <c r="I146" s="97">
        <v>254688.53</v>
      </c>
      <c r="J146" s="97">
        <v>89557.47</v>
      </c>
      <c r="K146" s="97"/>
    </row>
    <row r="147" spans="5:11" x14ac:dyDescent="0.25">
      <c r="E147" s="94" t="s">
        <v>147</v>
      </c>
      <c r="F147" s="97"/>
      <c r="G147" s="97"/>
      <c r="H147" s="97">
        <v>0</v>
      </c>
      <c r="I147" s="97">
        <v>0</v>
      </c>
      <c r="J147" s="97"/>
      <c r="K147" s="97"/>
    </row>
    <row r="148" spans="5:11" x14ac:dyDescent="0.25">
      <c r="E148" s="94" t="s">
        <v>151</v>
      </c>
      <c r="F148" s="97">
        <v>49677.97</v>
      </c>
      <c r="G148" s="97"/>
      <c r="H148" s="97">
        <v>39460.49</v>
      </c>
      <c r="I148" s="97">
        <v>172157.89</v>
      </c>
      <c r="J148" s="97">
        <v>11995.51</v>
      </c>
      <c r="K148" s="97"/>
    </row>
    <row r="149" spans="5:11" x14ac:dyDescent="0.25">
      <c r="E149" s="94" t="s">
        <v>152</v>
      </c>
      <c r="F149" s="97">
        <v>60996.4</v>
      </c>
      <c r="G149" s="97"/>
      <c r="H149" s="97">
        <v>20469.689999999999</v>
      </c>
      <c r="I149" s="97">
        <v>8321.68</v>
      </c>
      <c r="J149" s="97">
        <v>10539.91</v>
      </c>
      <c r="K149" s="97"/>
    </row>
    <row r="150" spans="5:11" x14ac:dyDescent="0.25">
      <c r="E150" s="94" t="s">
        <v>153</v>
      </c>
      <c r="F150" s="97"/>
      <c r="G150" s="97"/>
      <c r="H150" s="97">
        <v>0</v>
      </c>
      <c r="I150" s="97">
        <v>0</v>
      </c>
      <c r="J150" s="97"/>
      <c r="K150" s="97"/>
    </row>
    <row r="151" spans="5:11" x14ac:dyDescent="0.25">
      <c r="E151" s="94" t="s">
        <v>154</v>
      </c>
      <c r="F151" s="97">
        <v>220096.96</v>
      </c>
      <c r="G151" s="97">
        <v>274828.17</v>
      </c>
      <c r="H151" s="97">
        <v>254129.18</v>
      </c>
      <c r="I151" s="97">
        <v>233274.02</v>
      </c>
      <c r="J151" s="97">
        <v>200489.78</v>
      </c>
      <c r="K151" s="97"/>
    </row>
    <row r="152" spans="5:11" x14ac:dyDescent="0.25">
      <c r="E152" s="94" t="s">
        <v>155</v>
      </c>
      <c r="F152" s="97">
        <v>220096.96</v>
      </c>
      <c r="G152" s="97">
        <v>274828.17</v>
      </c>
      <c r="H152" s="97">
        <v>254129.18</v>
      </c>
      <c r="I152" s="97">
        <v>233274.02</v>
      </c>
      <c r="J152" s="97">
        <v>200489.78</v>
      </c>
      <c r="K152" s="97"/>
    </row>
    <row r="153" spans="5:11" x14ac:dyDescent="0.25">
      <c r="E153" s="94" t="s">
        <v>125</v>
      </c>
      <c r="F153" s="97">
        <v>0</v>
      </c>
      <c r="G153" s="97"/>
      <c r="H153" s="97">
        <v>0</v>
      </c>
      <c r="I153" s="97">
        <v>0</v>
      </c>
      <c r="J153" s="97"/>
      <c r="K153" s="97"/>
    </row>
    <row r="154" spans="5:11" x14ac:dyDescent="0.25">
      <c r="E154" s="94" t="s">
        <v>156</v>
      </c>
      <c r="F154" s="97"/>
      <c r="G154" s="97"/>
      <c r="H154" s="97">
        <v>0</v>
      </c>
      <c r="I154" s="97">
        <v>0</v>
      </c>
      <c r="J154" s="97"/>
      <c r="K154" s="97"/>
    </row>
    <row r="155" spans="5:11" x14ac:dyDescent="0.25">
      <c r="E155" s="94" t="s">
        <v>157</v>
      </c>
      <c r="F155" s="97"/>
      <c r="G155" s="97"/>
      <c r="H155" s="97">
        <v>0</v>
      </c>
      <c r="I155" s="97">
        <v>0</v>
      </c>
      <c r="J155" s="97"/>
      <c r="K155" s="97"/>
    </row>
    <row r="156" spans="5:11" x14ac:dyDescent="0.25">
      <c r="E156" s="94" t="s">
        <v>158</v>
      </c>
      <c r="F156" s="97"/>
      <c r="G156" s="97"/>
      <c r="H156" s="97">
        <v>0</v>
      </c>
      <c r="I156" s="97">
        <v>0</v>
      </c>
      <c r="J156" s="97"/>
      <c r="K156" s="97"/>
    </row>
    <row r="157" spans="5:11" x14ac:dyDescent="0.25">
      <c r="E157" s="94" t="s">
        <v>159</v>
      </c>
      <c r="F157" s="97"/>
      <c r="G157" s="97"/>
      <c r="H157" s="97">
        <v>0</v>
      </c>
      <c r="I157" s="97">
        <v>0</v>
      </c>
      <c r="J157" s="97"/>
      <c r="K157" s="97"/>
    </row>
    <row r="158" spans="5:11" x14ac:dyDescent="0.25">
      <c r="E158" s="94" t="s">
        <v>160</v>
      </c>
      <c r="F158" s="97">
        <v>0</v>
      </c>
      <c r="G158" s="97"/>
      <c r="H158" s="97">
        <v>0</v>
      </c>
      <c r="I158" s="97">
        <v>0</v>
      </c>
      <c r="J158" s="97"/>
      <c r="K158" s="97"/>
    </row>
    <row r="159" spans="5:11" x14ac:dyDescent="0.25">
      <c r="E159" s="94" t="s">
        <v>156</v>
      </c>
      <c r="F159" s="97"/>
      <c r="G159" s="97"/>
      <c r="H159" s="97">
        <v>0</v>
      </c>
      <c r="I159" s="97">
        <v>0</v>
      </c>
      <c r="J159" s="97"/>
      <c r="K159" s="97"/>
    </row>
    <row r="160" spans="5:11" x14ac:dyDescent="0.25">
      <c r="E160" s="94" t="s">
        <v>157</v>
      </c>
      <c r="F160" s="97"/>
      <c r="G160" s="97"/>
      <c r="H160" s="97">
        <v>0</v>
      </c>
      <c r="I160" s="97">
        <v>0</v>
      </c>
      <c r="J160" s="97"/>
      <c r="K160" s="97"/>
    </row>
    <row r="161" spans="5:11" x14ac:dyDescent="0.25">
      <c r="E161" s="94" t="s">
        <v>158</v>
      </c>
      <c r="F161" s="97"/>
      <c r="G161" s="97"/>
      <c r="H161" s="97">
        <v>0</v>
      </c>
      <c r="I161" s="97">
        <v>0</v>
      </c>
      <c r="J161" s="97"/>
      <c r="K161" s="97"/>
    </row>
    <row r="162" spans="5:11" x14ac:dyDescent="0.25">
      <c r="E162" s="94" t="s">
        <v>159</v>
      </c>
      <c r="F162" s="97"/>
      <c r="G162" s="97"/>
      <c r="H162" s="97">
        <v>0</v>
      </c>
      <c r="I162" s="97">
        <v>0</v>
      </c>
      <c r="J162" s="97"/>
      <c r="K162" s="97"/>
    </row>
    <row r="163" spans="5:11" x14ac:dyDescent="0.25">
      <c r="E163" s="94" t="s">
        <v>161</v>
      </c>
      <c r="F163" s="97">
        <v>220096.96</v>
      </c>
      <c r="G163" s="97">
        <v>274828.17</v>
      </c>
      <c r="H163" s="97">
        <v>254129.18</v>
      </c>
      <c r="I163" s="97">
        <v>233274.02</v>
      </c>
      <c r="J163" s="97">
        <v>200489.78</v>
      </c>
      <c r="K163" s="97"/>
    </row>
    <row r="164" spans="5:11" x14ac:dyDescent="0.25">
      <c r="E164" s="94" t="s">
        <v>162</v>
      </c>
      <c r="F164" s="97">
        <v>220096.96</v>
      </c>
      <c r="G164" s="97"/>
      <c r="H164" s="97">
        <v>254129.18</v>
      </c>
      <c r="I164" s="97">
        <v>233274.02</v>
      </c>
      <c r="J164" s="97">
        <v>200489.78</v>
      </c>
      <c r="K164" s="97"/>
    </row>
    <row r="165" spans="5:11" x14ac:dyDescent="0.25">
      <c r="E165" s="94" t="s">
        <v>163</v>
      </c>
      <c r="F165" s="97"/>
      <c r="G165" s="97"/>
      <c r="H165" s="97">
        <v>0</v>
      </c>
      <c r="I165" s="97">
        <v>0</v>
      </c>
      <c r="J165" s="97">
        <v>0</v>
      </c>
      <c r="K165" s="97"/>
    </row>
    <row r="166" spans="5:11" x14ac:dyDescent="0.25">
      <c r="E166" s="94" t="s">
        <v>164</v>
      </c>
      <c r="F166" s="97"/>
      <c r="G166" s="97"/>
      <c r="H166" s="97">
        <v>0</v>
      </c>
      <c r="I166" s="97">
        <v>0</v>
      </c>
      <c r="J166" s="97"/>
      <c r="K166" s="97"/>
    </row>
    <row r="167" spans="5:11" x14ac:dyDescent="0.25">
      <c r="E167" s="94" t="s">
        <v>165</v>
      </c>
      <c r="F167" s="97"/>
      <c r="G167" s="97"/>
      <c r="H167" s="97">
        <v>0</v>
      </c>
      <c r="I167" s="97">
        <v>0</v>
      </c>
      <c r="J167" s="97"/>
      <c r="K167" s="97"/>
    </row>
    <row r="168" spans="5:11" x14ac:dyDescent="0.25">
      <c r="E168" s="94" t="s">
        <v>166</v>
      </c>
      <c r="F168" s="97">
        <v>2495.5500000000002</v>
      </c>
      <c r="G168" s="97">
        <v>2495.5500000000002</v>
      </c>
      <c r="H168" s="97">
        <v>2495.5500000000002</v>
      </c>
      <c r="I168" s="97">
        <v>0</v>
      </c>
      <c r="J168" s="97">
        <v>4160.7</v>
      </c>
      <c r="K168" s="97"/>
    </row>
    <row r="169" spans="5:11" x14ac:dyDescent="0.25">
      <c r="E169" s="94" t="s">
        <v>167</v>
      </c>
      <c r="F169" s="97"/>
      <c r="G169" s="97">
        <v>0</v>
      </c>
      <c r="H169" s="97">
        <v>0</v>
      </c>
      <c r="I169" s="97">
        <v>0</v>
      </c>
      <c r="J169" s="97"/>
      <c r="K169" s="97"/>
    </row>
    <row r="170" spans="5:11" x14ac:dyDescent="0.25">
      <c r="E170" s="94" t="s">
        <v>168</v>
      </c>
      <c r="F170" s="97"/>
      <c r="G170" s="97">
        <v>0</v>
      </c>
      <c r="H170" s="97">
        <v>0</v>
      </c>
      <c r="I170" s="97">
        <v>0</v>
      </c>
      <c r="J170" s="97"/>
      <c r="K170" s="97"/>
    </row>
    <row r="171" spans="5:11" x14ac:dyDescent="0.25">
      <c r="E171" s="94" t="s">
        <v>169</v>
      </c>
      <c r="F171" s="97">
        <v>865867.72</v>
      </c>
      <c r="G171" s="97">
        <v>675183.02</v>
      </c>
      <c r="H171" s="97">
        <v>602093.73</v>
      </c>
      <c r="I171" s="97">
        <v>908410.63</v>
      </c>
      <c r="J171" s="97">
        <v>479835.07</v>
      </c>
      <c r="K171" s="97"/>
    </row>
    <row r="172" spans="5:11" x14ac:dyDescent="0.25">
      <c r="E172" s="104" t="s">
        <v>170</v>
      </c>
      <c r="F172" s="97">
        <v>514940.97</v>
      </c>
      <c r="G172" s="97">
        <v>263448.14</v>
      </c>
      <c r="H172" s="97">
        <v>61564.02</v>
      </c>
      <c r="I172" s="97">
        <v>450861.03</v>
      </c>
      <c r="J172" s="97">
        <v>20606.97</v>
      </c>
      <c r="K172" s="97"/>
    </row>
    <row r="173" spans="5:11" x14ac:dyDescent="0.25">
      <c r="E173" s="94" t="s">
        <v>171</v>
      </c>
      <c r="F173" s="97"/>
      <c r="G173" s="97"/>
      <c r="H173" s="97"/>
      <c r="I173" s="97"/>
      <c r="J173" s="97"/>
      <c r="K173" s="97"/>
    </row>
    <row r="174" spans="5:11" x14ac:dyDescent="0.25">
      <c r="E174" s="94" t="s">
        <v>262</v>
      </c>
      <c r="F174" s="97"/>
      <c r="G174" s="97"/>
      <c r="H174" s="97"/>
      <c r="I174" s="97"/>
      <c r="J174" s="97"/>
      <c r="K174" s="97"/>
    </row>
    <row r="175" spans="5:11" x14ac:dyDescent="0.25">
      <c r="E175" s="94" t="s">
        <v>263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264</v>
      </c>
      <c r="F176" s="97"/>
      <c r="G176" s="97"/>
      <c r="H176" s="97"/>
      <c r="I176" s="97"/>
      <c r="J176" s="97"/>
      <c r="K176" s="97"/>
    </row>
    <row r="177" spans="5:11" x14ac:dyDescent="0.25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266</v>
      </c>
      <c r="F178" s="97"/>
      <c r="G178" s="97"/>
      <c r="H178" s="97"/>
      <c r="I178" s="97"/>
      <c r="J178" s="97"/>
      <c r="K178" s="97"/>
    </row>
    <row r="179" spans="5:11" x14ac:dyDescent="0.25">
      <c r="E179" s="94" t="s">
        <v>267</v>
      </c>
      <c r="F179" s="97"/>
      <c r="G179" s="97"/>
      <c r="H179" s="97"/>
      <c r="I179" s="97"/>
      <c r="J179" s="97"/>
      <c r="K179" s="97"/>
    </row>
    <row r="180" spans="5:11" x14ac:dyDescent="0.25">
      <c r="E180" s="94" t="s">
        <v>268</v>
      </c>
      <c r="F180" s="97"/>
      <c r="G180" s="97"/>
      <c r="H180" s="97"/>
      <c r="I180" s="97"/>
      <c r="J180" s="97"/>
      <c r="K180" s="97"/>
    </row>
    <row r="181" spans="5:11" x14ac:dyDescent="0.25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5">
      <c r="E182" s="94" t="s">
        <v>171</v>
      </c>
      <c r="F182" s="97">
        <v>310100</v>
      </c>
      <c r="G182" s="97">
        <v>310100</v>
      </c>
      <c r="H182" s="97">
        <v>100</v>
      </c>
      <c r="I182" s="97">
        <v>100</v>
      </c>
      <c r="J182" s="97">
        <v>100</v>
      </c>
      <c r="K182" s="97"/>
    </row>
    <row r="183" spans="5:11" x14ac:dyDescent="0.25">
      <c r="E183" s="94" t="s">
        <v>172</v>
      </c>
      <c r="F183" s="97">
        <v>0</v>
      </c>
      <c r="G183" s="97">
        <v>0</v>
      </c>
      <c r="H183" s="97">
        <v>310000</v>
      </c>
      <c r="I183" s="97">
        <v>310000</v>
      </c>
      <c r="J183" s="97">
        <v>257378.65</v>
      </c>
      <c r="K183" s="97"/>
    </row>
    <row r="184" spans="5:11" x14ac:dyDescent="0.25">
      <c r="E184" s="94" t="s">
        <v>173</v>
      </c>
      <c r="F184" s="97"/>
      <c r="G184" s="97">
        <v>0</v>
      </c>
      <c r="H184" s="97">
        <v>0</v>
      </c>
      <c r="I184" s="97">
        <v>0</v>
      </c>
      <c r="J184" s="97"/>
      <c r="K184" s="97"/>
    </row>
    <row r="185" spans="5:11" x14ac:dyDescent="0.25">
      <c r="E185" s="94" t="s">
        <v>174</v>
      </c>
      <c r="F185" s="97"/>
      <c r="G185" s="97">
        <v>0</v>
      </c>
      <c r="H185" s="97">
        <v>0</v>
      </c>
      <c r="I185" s="97">
        <v>0</v>
      </c>
      <c r="J185" s="97"/>
      <c r="K185" s="97"/>
    </row>
    <row r="186" spans="5:11" x14ac:dyDescent="0.25">
      <c r="E186" s="94" t="s">
        <v>175</v>
      </c>
      <c r="F186" s="97"/>
      <c r="G186" s="97">
        <v>0</v>
      </c>
      <c r="H186" s="97">
        <v>0</v>
      </c>
      <c r="I186" s="97">
        <v>0</v>
      </c>
      <c r="J186" s="97"/>
      <c r="K186" s="97"/>
    </row>
    <row r="187" spans="5:11" x14ac:dyDescent="0.25">
      <c r="E187" s="94" t="s">
        <v>176</v>
      </c>
      <c r="F187" s="97"/>
      <c r="G187" s="97">
        <v>0</v>
      </c>
      <c r="H187" s="97">
        <v>0</v>
      </c>
      <c r="I187" s="97">
        <v>0</v>
      </c>
      <c r="J187" s="97">
        <v>18254</v>
      </c>
      <c r="K187" s="97"/>
    </row>
    <row r="188" spans="5:11" x14ac:dyDescent="0.25">
      <c r="E188" s="94" t="s">
        <v>177</v>
      </c>
      <c r="F188" s="97"/>
      <c r="G188" s="97"/>
      <c r="H188" s="97">
        <v>0</v>
      </c>
      <c r="I188" s="97">
        <v>0</v>
      </c>
      <c r="J188" s="97">
        <v>18254</v>
      </c>
      <c r="K188" s="97"/>
    </row>
    <row r="189" spans="5:11" x14ac:dyDescent="0.25">
      <c r="E189" s="94" t="s">
        <v>178</v>
      </c>
      <c r="F189" s="97"/>
      <c r="G189" s="97"/>
      <c r="H189" s="97">
        <v>0</v>
      </c>
      <c r="I189" s="97">
        <v>0</v>
      </c>
      <c r="J189" s="97"/>
      <c r="K189" s="97"/>
    </row>
    <row r="190" spans="5:11" x14ac:dyDescent="0.25">
      <c r="E190" s="94" t="s">
        <v>179</v>
      </c>
      <c r="F190" s="97">
        <v>132773.95000000001</v>
      </c>
      <c r="G190" s="97">
        <v>-248535.98</v>
      </c>
      <c r="H190" s="97">
        <v>-125554.42</v>
      </c>
      <c r="I190" s="97">
        <v>-27930.62</v>
      </c>
      <c r="J190" s="97">
        <v>-227937.36</v>
      </c>
      <c r="K190" s="97"/>
    </row>
    <row r="191" spans="5:11" x14ac:dyDescent="0.25">
      <c r="E191" s="94" t="s">
        <v>180</v>
      </c>
      <c r="F191" s="97">
        <v>72067.02</v>
      </c>
      <c r="G191" s="97">
        <v>201884.12</v>
      </c>
      <c r="H191" s="97">
        <v>-122981.56</v>
      </c>
      <c r="I191" s="97">
        <v>168691.65</v>
      </c>
      <c r="J191" s="97">
        <v>-27188.32</v>
      </c>
      <c r="K191" s="97"/>
    </row>
    <row r="192" spans="5:11" x14ac:dyDescent="0.25">
      <c r="E192" s="94" t="s">
        <v>181</v>
      </c>
      <c r="F192" s="97"/>
      <c r="G192" s="97">
        <v>0</v>
      </c>
      <c r="H192" s="97">
        <v>0</v>
      </c>
      <c r="I192" s="97">
        <v>0</v>
      </c>
      <c r="J192" s="97"/>
      <c r="K192" s="97"/>
    </row>
    <row r="193" spans="5:11" x14ac:dyDescent="0.25">
      <c r="E193" s="104" t="s">
        <v>182</v>
      </c>
      <c r="F193" s="97">
        <v>350926.75</v>
      </c>
      <c r="G193" s="97">
        <v>411734.88</v>
      </c>
      <c r="H193" s="97">
        <v>540529.71</v>
      </c>
      <c r="I193" s="97">
        <v>457549.6</v>
      </c>
      <c r="J193" s="97">
        <v>459228.1</v>
      </c>
      <c r="K193" s="97"/>
    </row>
    <row r="194" spans="5:11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/>
      <c r="K194" s="97"/>
    </row>
    <row r="195" spans="5:11" x14ac:dyDescent="0.25">
      <c r="E195" s="94" t="s">
        <v>184</v>
      </c>
      <c r="F195" s="97"/>
      <c r="G195" s="97"/>
      <c r="H195" s="97">
        <v>0</v>
      </c>
      <c r="I195" s="97">
        <v>0</v>
      </c>
      <c r="J195" s="97"/>
      <c r="K195" s="97"/>
    </row>
    <row r="196" spans="5:11" x14ac:dyDescent="0.25">
      <c r="E196" s="94" t="s">
        <v>185</v>
      </c>
      <c r="F196" s="97">
        <v>0</v>
      </c>
      <c r="G196" s="97"/>
      <c r="H196" s="97">
        <v>0</v>
      </c>
      <c r="I196" s="97">
        <v>0</v>
      </c>
      <c r="J196" s="97"/>
      <c r="K196" s="97"/>
    </row>
    <row r="197" spans="5:11" x14ac:dyDescent="0.25">
      <c r="E197" s="94" t="s">
        <v>186</v>
      </c>
      <c r="F197" s="97"/>
      <c r="G197" s="97"/>
      <c r="H197" s="97">
        <v>0</v>
      </c>
      <c r="I197" s="97">
        <v>0</v>
      </c>
      <c r="J197" s="97"/>
      <c r="K197" s="97"/>
    </row>
    <row r="198" spans="5:11" x14ac:dyDescent="0.25">
      <c r="E198" s="94" t="s">
        <v>187</v>
      </c>
      <c r="F198" s="97"/>
      <c r="G198" s="97"/>
      <c r="H198" s="97">
        <v>0</v>
      </c>
      <c r="I198" s="97">
        <v>0</v>
      </c>
      <c r="J198" s="97"/>
      <c r="K198" s="97"/>
    </row>
    <row r="199" spans="5:11" x14ac:dyDescent="0.25">
      <c r="E199" s="94" t="s">
        <v>188</v>
      </c>
      <c r="F199" s="97">
        <v>0</v>
      </c>
      <c r="G199" s="97"/>
      <c r="H199" s="97">
        <v>0</v>
      </c>
      <c r="I199" s="97">
        <v>0</v>
      </c>
      <c r="J199" s="97"/>
      <c r="K199" s="97"/>
    </row>
    <row r="200" spans="5:11" x14ac:dyDescent="0.25">
      <c r="E200" s="94" t="s">
        <v>186</v>
      </c>
      <c r="F200" s="97"/>
      <c r="G200" s="97"/>
      <c r="H200" s="97">
        <v>0</v>
      </c>
      <c r="I200" s="97">
        <v>0</v>
      </c>
      <c r="J200" s="97"/>
      <c r="K200" s="97"/>
    </row>
    <row r="201" spans="5:11" x14ac:dyDescent="0.25">
      <c r="E201" s="94" t="s">
        <v>187</v>
      </c>
      <c r="F201" s="97"/>
      <c r="G201" s="97"/>
      <c r="H201" s="97">
        <v>0</v>
      </c>
      <c r="I201" s="97">
        <v>0</v>
      </c>
      <c r="J201" s="97"/>
      <c r="K201" s="97"/>
    </row>
    <row r="202" spans="5:11" x14ac:dyDescent="0.25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5555.65</v>
      </c>
      <c r="K202" s="97"/>
    </row>
    <row r="203" spans="5:11" x14ac:dyDescent="0.25">
      <c r="E203" s="94" t="s">
        <v>190</v>
      </c>
      <c r="F203" s="97"/>
      <c r="G203" s="97"/>
      <c r="H203" s="97">
        <v>0</v>
      </c>
      <c r="I203" s="97">
        <v>0</v>
      </c>
      <c r="J203" s="97"/>
      <c r="K203" s="97"/>
    </row>
    <row r="204" spans="5:11" x14ac:dyDescent="0.25">
      <c r="E204" s="94" t="s">
        <v>191</v>
      </c>
      <c r="F204" s="97"/>
      <c r="G204" s="97"/>
      <c r="H204" s="97">
        <v>0</v>
      </c>
      <c r="I204" s="97">
        <v>0</v>
      </c>
      <c r="J204" s="97"/>
      <c r="K204" s="97"/>
    </row>
    <row r="205" spans="5:11" x14ac:dyDescent="0.25">
      <c r="E205" s="94" t="s">
        <v>192</v>
      </c>
      <c r="F205" s="97">
        <v>0</v>
      </c>
      <c r="G205" s="97"/>
      <c r="H205" s="97">
        <v>0</v>
      </c>
      <c r="I205" s="97">
        <v>0</v>
      </c>
      <c r="J205" s="97">
        <v>5555.65</v>
      </c>
      <c r="K205" s="97"/>
    </row>
    <row r="206" spans="5:11" x14ac:dyDescent="0.25">
      <c r="E206" s="94" t="s">
        <v>193</v>
      </c>
      <c r="F206" s="97">
        <v>0</v>
      </c>
      <c r="G206" s="97"/>
      <c r="H206" s="97">
        <v>0</v>
      </c>
      <c r="I206" s="97">
        <v>0</v>
      </c>
      <c r="J206" s="97">
        <v>5555.65</v>
      </c>
      <c r="K206" s="97"/>
    </row>
    <row r="207" spans="5:11" x14ac:dyDescent="0.25">
      <c r="E207" s="94" t="s">
        <v>194</v>
      </c>
      <c r="F207" s="97"/>
      <c r="G207" s="97"/>
      <c r="H207" s="97">
        <v>0</v>
      </c>
      <c r="I207" s="97">
        <v>0</v>
      </c>
      <c r="J207" s="97"/>
      <c r="K207" s="97"/>
    </row>
    <row r="208" spans="5:11" x14ac:dyDescent="0.25">
      <c r="E208" s="94" t="s">
        <v>195</v>
      </c>
      <c r="F208" s="97"/>
      <c r="G208" s="97"/>
      <c r="H208" s="97">
        <v>0</v>
      </c>
      <c r="I208" s="97">
        <v>0</v>
      </c>
      <c r="J208" s="97"/>
      <c r="K208" s="97"/>
    </row>
    <row r="209" spans="5:11" x14ac:dyDescent="0.25">
      <c r="E209" s="94" t="s">
        <v>196</v>
      </c>
      <c r="F209" s="97"/>
      <c r="G209" s="97"/>
      <c r="H209" s="97">
        <v>0</v>
      </c>
      <c r="I209" s="97">
        <v>0</v>
      </c>
      <c r="J209" s="97"/>
      <c r="K209" s="97"/>
    </row>
    <row r="210" spans="5:11" x14ac:dyDescent="0.25">
      <c r="E210" s="94" t="s">
        <v>197</v>
      </c>
      <c r="F210" s="97"/>
      <c r="G210" s="97"/>
      <c r="H210" s="97">
        <v>0</v>
      </c>
      <c r="I210" s="97">
        <v>0</v>
      </c>
      <c r="J210" s="97"/>
      <c r="K210" s="97"/>
    </row>
    <row r="211" spans="5:11" x14ac:dyDescent="0.25">
      <c r="E211" s="94" t="s">
        <v>198</v>
      </c>
      <c r="F211" s="97">
        <v>350926.75</v>
      </c>
      <c r="G211" s="97">
        <v>411734.88</v>
      </c>
      <c r="H211" s="97">
        <v>540529.71</v>
      </c>
      <c r="I211" s="97">
        <v>400443.25</v>
      </c>
      <c r="J211" s="97">
        <v>389668.8</v>
      </c>
      <c r="K211" s="97"/>
    </row>
    <row r="212" spans="5:11" x14ac:dyDescent="0.25">
      <c r="E212" s="94" t="s">
        <v>190</v>
      </c>
      <c r="F212" s="97">
        <v>0</v>
      </c>
      <c r="G212" s="97"/>
      <c r="H212" s="97">
        <v>28171.8</v>
      </c>
      <c r="I212" s="97">
        <v>0</v>
      </c>
      <c r="J212" s="97"/>
      <c r="K212" s="97"/>
    </row>
    <row r="213" spans="5:11" x14ac:dyDescent="0.25">
      <c r="E213" s="94" t="s">
        <v>200</v>
      </c>
      <c r="F213" s="97"/>
      <c r="G213" s="97"/>
      <c r="H213" s="97"/>
      <c r="I213" s="97"/>
      <c r="J213" s="97"/>
      <c r="K213" s="97"/>
    </row>
    <row r="214" spans="5:11" x14ac:dyDescent="0.25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5">
      <c r="E217" s="94" t="s">
        <v>199</v>
      </c>
      <c r="F217" s="97">
        <v>26667.200000000001</v>
      </c>
      <c r="G217" s="97"/>
      <c r="H217" s="97">
        <v>0</v>
      </c>
      <c r="I217" s="97">
        <v>0</v>
      </c>
      <c r="J217" s="97"/>
      <c r="K217" s="97"/>
    </row>
    <row r="218" spans="5:11" x14ac:dyDescent="0.25">
      <c r="E218" s="94" t="s">
        <v>200</v>
      </c>
      <c r="F218" s="97">
        <v>0</v>
      </c>
      <c r="G218" s="97"/>
      <c r="H218" s="97">
        <v>0</v>
      </c>
      <c r="I218" s="97">
        <v>0</v>
      </c>
      <c r="J218" s="97"/>
      <c r="K218" s="97"/>
    </row>
    <row r="219" spans="5:11" x14ac:dyDescent="0.25">
      <c r="E219" s="94" t="s">
        <v>146</v>
      </c>
      <c r="F219" s="97"/>
      <c r="G219" s="97"/>
      <c r="H219" s="97">
        <v>0</v>
      </c>
      <c r="I219" s="97">
        <v>0</v>
      </c>
      <c r="J219" s="97"/>
      <c r="K219" s="97"/>
    </row>
    <row r="220" spans="5:11" x14ac:dyDescent="0.25">
      <c r="E220" s="94" t="s">
        <v>147</v>
      </c>
      <c r="F220" s="97"/>
      <c r="G220" s="97"/>
      <c r="H220" s="97">
        <v>0</v>
      </c>
      <c r="I220" s="97">
        <v>0</v>
      </c>
      <c r="J220" s="97"/>
      <c r="K220" s="97"/>
    </row>
    <row r="221" spans="5:11" x14ac:dyDescent="0.25">
      <c r="E221" s="94" t="s">
        <v>148</v>
      </c>
      <c r="F221" s="97">
        <v>26667.200000000001</v>
      </c>
      <c r="G221" s="97"/>
      <c r="H221" s="97">
        <v>0</v>
      </c>
      <c r="I221" s="97">
        <v>0</v>
      </c>
      <c r="J221" s="97"/>
      <c r="K221" s="97"/>
    </row>
    <row r="222" spans="5:11" x14ac:dyDescent="0.25">
      <c r="E222" s="94" t="s">
        <v>192</v>
      </c>
      <c r="F222" s="97">
        <v>188647.4</v>
      </c>
      <c r="G222" s="97"/>
      <c r="H222" s="97">
        <v>349455.66</v>
      </c>
      <c r="I222" s="97">
        <v>239746.27</v>
      </c>
      <c r="J222" s="97">
        <v>310295.40999999997</v>
      </c>
      <c r="K222" s="97"/>
    </row>
    <row r="223" spans="5:11" x14ac:dyDescent="0.25">
      <c r="E223" s="94" t="s">
        <v>193</v>
      </c>
      <c r="F223" s="97">
        <v>0</v>
      </c>
      <c r="G223" s="97"/>
      <c r="H223" s="97">
        <v>0</v>
      </c>
      <c r="I223" s="97">
        <v>0</v>
      </c>
      <c r="J223" s="97">
        <v>22222.2</v>
      </c>
      <c r="K223" s="97"/>
    </row>
    <row r="224" spans="5:11" x14ac:dyDescent="0.25">
      <c r="E224" s="94" t="s">
        <v>194</v>
      </c>
      <c r="F224" s="97"/>
      <c r="G224" s="97"/>
      <c r="H224" s="97">
        <v>0</v>
      </c>
      <c r="I224" s="97">
        <v>0</v>
      </c>
      <c r="J224" s="97"/>
      <c r="K224" s="97"/>
    </row>
    <row r="225" spans="5:11" x14ac:dyDescent="0.25">
      <c r="E225" s="94" t="s">
        <v>195</v>
      </c>
      <c r="F225" s="97">
        <v>110427.9</v>
      </c>
      <c r="G225" s="97"/>
      <c r="H225" s="97">
        <v>50940.07</v>
      </c>
      <c r="I225" s="97">
        <v>0</v>
      </c>
      <c r="J225" s="97"/>
      <c r="K225" s="97"/>
    </row>
    <row r="226" spans="5:11" x14ac:dyDescent="0.25">
      <c r="E226" s="94" t="s">
        <v>201</v>
      </c>
      <c r="F226" s="97">
        <v>0</v>
      </c>
      <c r="G226" s="97"/>
      <c r="H226" s="97">
        <v>138688.79</v>
      </c>
      <c r="I226" s="97">
        <v>109536.82</v>
      </c>
      <c r="J226" s="97">
        <v>13181.45</v>
      </c>
      <c r="K226" s="97"/>
    </row>
    <row r="227" spans="5:11" x14ac:dyDescent="0.25">
      <c r="E227" s="94" t="s">
        <v>146</v>
      </c>
      <c r="F227" s="97">
        <v>0</v>
      </c>
      <c r="G227" s="97"/>
      <c r="H227" s="97">
        <v>138688.79</v>
      </c>
      <c r="I227" s="97">
        <v>109536.82</v>
      </c>
      <c r="J227" s="97">
        <v>13181.45</v>
      </c>
      <c r="K227" s="97"/>
    </row>
    <row r="228" spans="5:11" x14ac:dyDescent="0.25">
      <c r="E228" s="94" t="s">
        <v>147</v>
      </c>
      <c r="F228" s="97"/>
      <c r="G228" s="97"/>
      <c r="H228" s="97">
        <v>0</v>
      </c>
      <c r="I228" s="97">
        <v>0</v>
      </c>
      <c r="J228" s="97"/>
      <c r="K228" s="97"/>
    </row>
    <row r="229" spans="5:11" x14ac:dyDescent="0.25">
      <c r="E229" s="94" t="s">
        <v>202</v>
      </c>
      <c r="F229" s="97"/>
      <c r="G229" s="97"/>
      <c r="H229" s="97">
        <v>0</v>
      </c>
      <c r="I229" s="97">
        <v>0</v>
      </c>
      <c r="J229" s="97"/>
      <c r="K229" s="97"/>
    </row>
    <row r="230" spans="5:11" x14ac:dyDescent="0.25">
      <c r="E230" s="94" t="s">
        <v>203</v>
      </c>
      <c r="F230" s="97"/>
      <c r="G230" s="97"/>
      <c r="H230" s="97">
        <v>0</v>
      </c>
      <c r="I230" s="97">
        <v>0</v>
      </c>
      <c r="J230" s="97"/>
      <c r="K230" s="97"/>
    </row>
    <row r="231" spans="5:11" x14ac:dyDescent="0.25">
      <c r="E231" s="94" t="s">
        <v>204</v>
      </c>
      <c r="F231" s="97">
        <v>78219.5</v>
      </c>
      <c r="G231" s="97"/>
      <c r="H231" s="97">
        <v>141241.21</v>
      </c>
      <c r="I231" s="97">
        <v>87782.04</v>
      </c>
      <c r="J231" s="97">
        <v>111668.98</v>
      </c>
      <c r="K231" s="97"/>
    </row>
    <row r="232" spans="5:11" x14ac:dyDescent="0.25">
      <c r="E232" s="94" t="s">
        <v>205</v>
      </c>
      <c r="F232" s="97">
        <v>0</v>
      </c>
      <c r="G232" s="97"/>
      <c r="H232" s="97">
        <v>6934.37</v>
      </c>
      <c r="I232" s="97">
        <v>0</v>
      </c>
      <c r="J232" s="97">
        <v>76193.63</v>
      </c>
      <c r="K232" s="97"/>
    </row>
    <row r="233" spans="5:11" x14ac:dyDescent="0.25">
      <c r="E233" s="94" t="s">
        <v>206</v>
      </c>
      <c r="F233" s="97"/>
      <c r="G233" s="97"/>
      <c r="H233" s="97">
        <v>11651.22</v>
      </c>
      <c r="I233" s="97">
        <v>42427.41</v>
      </c>
      <c r="J233" s="97">
        <v>87029.15</v>
      </c>
      <c r="K233" s="97"/>
    </row>
    <row r="234" spans="5:11" x14ac:dyDescent="0.25">
      <c r="E234" s="94" t="s">
        <v>207</v>
      </c>
      <c r="F234" s="97">
        <v>135612.15</v>
      </c>
      <c r="G234" s="97"/>
      <c r="H234" s="97">
        <v>162902.25</v>
      </c>
      <c r="I234" s="97">
        <v>160696.98000000001</v>
      </c>
      <c r="J234" s="97">
        <v>79373.39</v>
      </c>
      <c r="K234" s="97"/>
    </row>
    <row r="235" spans="5:11" x14ac:dyDescent="0.25">
      <c r="E235" s="94" t="s">
        <v>208</v>
      </c>
      <c r="F235" s="97">
        <v>0</v>
      </c>
      <c r="G235" s="97">
        <v>0</v>
      </c>
      <c r="H235" s="97">
        <v>0</v>
      </c>
      <c r="I235" s="97">
        <v>57106.35</v>
      </c>
      <c r="J235" s="97">
        <v>64003.65</v>
      </c>
      <c r="K235" s="97"/>
    </row>
    <row r="236" spans="5:11" x14ac:dyDescent="0.25">
      <c r="E236" s="94" t="s">
        <v>209</v>
      </c>
      <c r="F236" s="97"/>
      <c r="G236" s="97"/>
      <c r="H236" s="97">
        <v>0</v>
      </c>
      <c r="I236" s="97">
        <v>0</v>
      </c>
      <c r="J236" s="97"/>
      <c r="K236" s="97"/>
    </row>
    <row r="237" spans="5:11" x14ac:dyDescent="0.25">
      <c r="E237" s="94" t="s">
        <v>135</v>
      </c>
      <c r="F237" s="97">
        <v>0</v>
      </c>
      <c r="G237" s="97"/>
      <c r="H237" s="97">
        <v>0</v>
      </c>
      <c r="I237" s="97">
        <v>57106.35</v>
      </c>
      <c r="J237" s="97">
        <v>64003.65</v>
      </c>
      <c r="K237" s="97"/>
    </row>
    <row r="238" spans="5:11" x14ac:dyDescent="0.25">
      <c r="E238" s="94" t="s">
        <v>210</v>
      </c>
      <c r="F238" s="97"/>
      <c r="G238" s="97"/>
      <c r="H238" s="97">
        <v>0</v>
      </c>
      <c r="I238" s="97">
        <v>0</v>
      </c>
      <c r="J238" s="97">
        <v>63665.22</v>
      </c>
      <c r="K238" s="97"/>
    </row>
    <row r="239" spans="5:11" x14ac:dyDescent="0.25">
      <c r="E239" s="94" t="s">
        <v>211</v>
      </c>
      <c r="F239" s="97">
        <v>0</v>
      </c>
      <c r="G239" s="97"/>
      <c r="H239" s="97">
        <v>0</v>
      </c>
      <c r="I239" s="97">
        <v>57106.35</v>
      </c>
      <c r="J239" s="97">
        <v>338.43</v>
      </c>
      <c r="K239" s="97"/>
    </row>
    <row r="240" spans="5:11" x14ac:dyDescent="0.25">
      <c r="E240" s="94" t="s">
        <v>212</v>
      </c>
      <c r="F240" s="97">
        <v>865867.72</v>
      </c>
      <c r="G240" s="97">
        <v>675183.02</v>
      </c>
      <c r="H240" s="97">
        <v>602093.73</v>
      </c>
      <c r="I240" s="97">
        <v>908410.63</v>
      </c>
      <c r="J240" s="97">
        <v>479835.07</v>
      </c>
      <c r="K240" s="97"/>
    </row>
    <row r="241" spans="5:11" x14ac:dyDescent="0.25">
      <c r="E241" s="106" t="s">
        <v>213</v>
      </c>
      <c r="F241" s="97">
        <v>3014155.18</v>
      </c>
      <c r="G241" s="97">
        <v>0</v>
      </c>
      <c r="H241" s="97">
        <v>1793339.56</v>
      </c>
      <c r="I241" s="97">
        <v>1805427.16</v>
      </c>
      <c r="J241" s="97">
        <v>1803403.28</v>
      </c>
      <c r="K241" s="97"/>
    </row>
    <row r="242" spans="5:11" x14ac:dyDescent="0.25">
      <c r="E242" s="94" t="s">
        <v>214</v>
      </c>
      <c r="F242" s="97"/>
      <c r="G242" s="97">
        <v>0</v>
      </c>
      <c r="H242" s="97">
        <v>0</v>
      </c>
      <c r="I242" s="97">
        <v>0</v>
      </c>
      <c r="J242" s="97"/>
      <c r="K242" s="97"/>
    </row>
    <row r="243" spans="5:11" x14ac:dyDescent="0.25">
      <c r="E243" s="94" t="s">
        <v>215</v>
      </c>
      <c r="F243" s="97">
        <v>3014155.18</v>
      </c>
      <c r="G243" s="97">
        <v>0</v>
      </c>
      <c r="H243" s="97">
        <v>1793339.56</v>
      </c>
      <c r="I243" s="97">
        <v>1805427.16</v>
      </c>
      <c r="J243" s="97">
        <v>1800101.86</v>
      </c>
      <c r="K243" s="97"/>
    </row>
    <row r="244" spans="5:11" x14ac:dyDescent="0.25">
      <c r="E244" s="94" t="s">
        <v>216</v>
      </c>
      <c r="F244" s="97"/>
      <c r="G244" s="97">
        <v>0</v>
      </c>
      <c r="H244" s="97">
        <v>0</v>
      </c>
      <c r="I244" s="97">
        <v>0</v>
      </c>
      <c r="J244" s="97">
        <v>3301.42</v>
      </c>
      <c r="K244" s="97"/>
    </row>
    <row r="245" spans="5:11" x14ac:dyDescent="0.25">
      <c r="E245" s="94" t="s">
        <v>217</v>
      </c>
      <c r="F245" s="97"/>
      <c r="G245" s="97">
        <v>0</v>
      </c>
      <c r="H245" s="97">
        <v>0</v>
      </c>
      <c r="I245" s="97">
        <v>0</v>
      </c>
      <c r="J245" s="97"/>
      <c r="K245" s="97"/>
    </row>
    <row r="246" spans="5:11" x14ac:dyDescent="0.25">
      <c r="E246" s="94" t="s">
        <v>218</v>
      </c>
      <c r="F246" s="97"/>
      <c r="G246" s="97">
        <v>0</v>
      </c>
      <c r="H246" s="97">
        <v>0</v>
      </c>
      <c r="I246" s="97">
        <v>0</v>
      </c>
      <c r="J246" s="97"/>
      <c r="K246" s="97"/>
    </row>
    <row r="247" spans="5:11" x14ac:dyDescent="0.25">
      <c r="E247" s="94" t="s">
        <v>219</v>
      </c>
      <c r="F247" s="97">
        <v>4058933.14</v>
      </c>
      <c r="G247" s="97">
        <v>0</v>
      </c>
      <c r="H247" s="97">
        <v>2968140.9</v>
      </c>
      <c r="I247" s="97">
        <v>2686384.69</v>
      </c>
      <c r="J247" s="97">
        <v>2688407.86</v>
      </c>
      <c r="K247" s="97"/>
    </row>
    <row r="248" spans="5:11" x14ac:dyDescent="0.25">
      <c r="E248" s="94" t="s">
        <v>220</v>
      </c>
      <c r="F248" s="97">
        <v>66110.33</v>
      </c>
      <c r="G248" s="97">
        <v>0</v>
      </c>
      <c r="H248" s="97">
        <v>53809.97</v>
      </c>
      <c r="I248" s="97">
        <v>32590.2</v>
      </c>
      <c r="J248" s="97">
        <v>46333.07</v>
      </c>
      <c r="K248" s="97"/>
    </row>
    <row r="249" spans="5:11" x14ac:dyDescent="0.25">
      <c r="E249" s="94" t="s">
        <v>221</v>
      </c>
      <c r="F249" s="97">
        <v>902835.32</v>
      </c>
      <c r="G249" s="97">
        <v>0</v>
      </c>
      <c r="H249" s="97">
        <v>427862.97</v>
      </c>
      <c r="I249" s="97">
        <v>392206.84</v>
      </c>
      <c r="J249" s="97">
        <v>421310.06</v>
      </c>
      <c r="K249" s="97"/>
    </row>
    <row r="250" spans="5:11" x14ac:dyDescent="0.25">
      <c r="E250" s="94" t="s">
        <v>222</v>
      </c>
      <c r="F250" s="97">
        <v>303559.21000000002</v>
      </c>
      <c r="G250" s="97">
        <v>0</v>
      </c>
      <c r="H250" s="97">
        <v>425859.66</v>
      </c>
      <c r="I250" s="97">
        <v>434468.52</v>
      </c>
      <c r="J250" s="97">
        <v>346742.11</v>
      </c>
      <c r="K250" s="97"/>
    </row>
    <row r="251" spans="5:11" x14ac:dyDescent="0.25">
      <c r="E251" s="94" t="s">
        <v>223</v>
      </c>
      <c r="F251" s="97">
        <v>0</v>
      </c>
      <c r="G251" s="97">
        <v>0</v>
      </c>
      <c r="H251" s="97">
        <v>525.82000000000005</v>
      </c>
      <c r="I251" s="97">
        <v>942.98</v>
      </c>
      <c r="J251" s="97">
        <v>819.47</v>
      </c>
      <c r="K251" s="97"/>
    </row>
    <row r="252" spans="5:11" x14ac:dyDescent="0.25">
      <c r="E252" s="94" t="s">
        <v>224</v>
      </c>
      <c r="F252" s="97"/>
      <c r="G252" s="97">
        <v>0</v>
      </c>
      <c r="H252" s="97">
        <v>0</v>
      </c>
      <c r="I252" s="97">
        <v>0</v>
      </c>
      <c r="J252" s="97"/>
      <c r="K252" s="97"/>
    </row>
    <row r="253" spans="5:11" x14ac:dyDescent="0.25">
      <c r="E253" s="94" t="s">
        <v>225</v>
      </c>
      <c r="F253" s="97">
        <v>2285188.14</v>
      </c>
      <c r="G253" s="97">
        <v>0</v>
      </c>
      <c r="H253" s="97">
        <v>1725865.02</v>
      </c>
      <c r="I253" s="97">
        <v>1486492.8</v>
      </c>
      <c r="J253" s="97">
        <v>1534826.17</v>
      </c>
      <c r="K253" s="97"/>
    </row>
    <row r="254" spans="5:11" x14ac:dyDescent="0.25">
      <c r="E254" s="94" t="s">
        <v>226</v>
      </c>
      <c r="F254" s="97">
        <v>331544.73</v>
      </c>
      <c r="G254" s="97">
        <v>0</v>
      </c>
      <c r="H254" s="97">
        <v>306331.88</v>
      </c>
      <c r="I254" s="97">
        <v>303927.09999999998</v>
      </c>
      <c r="J254" s="97">
        <v>314774.23</v>
      </c>
      <c r="K254" s="97"/>
    </row>
    <row r="255" spans="5:11" x14ac:dyDescent="0.25">
      <c r="E255" s="94" t="s">
        <v>227</v>
      </c>
      <c r="F255" s="97"/>
      <c r="G255" s="97">
        <v>0</v>
      </c>
      <c r="H255" s="97">
        <v>0</v>
      </c>
      <c r="I255" s="97">
        <v>0</v>
      </c>
      <c r="J255" s="97">
        <v>143772.56</v>
      </c>
      <c r="K255" s="97"/>
    </row>
    <row r="256" spans="5:11" x14ac:dyDescent="0.25">
      <c r="E256" s="94" t="s">
        <v>228</v>
      </c>
      <c r="F256" s="97">
        <v>169695.41</v>
      </c>
      <c r="G256" s="97">
        <v>0</v>
      </c>
      <c r="H256" s="97">
        <v>27885.58</v>
      </c>
      <c r="I256" s="97">
        <v>35756.25</v>
      </c>
      <c r="J256" s="97">
        <v>23602.75</v>
      </c>
      <c r="K256" s="97"/>
    </row>
    <row r="257" spans="5:11" x14ac:dyDescent="0.25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/>
      <c r="K257" s="97"/>
    </row>
    <row r="258" spans="5:11" x14ac:dyDescent="0.25">
      <c r="E258" s="94" t="s">
        <v>230</v>
      </c>
      <c r="F258" s="97">
        <v>-1044777.96</v>
      </c>
      <c r="G258" s="97">
        <v>0</v>
      </c>
      <c r="H258" s="97">
        <v>-1174801.3400000001</v>
      </c>
      <c r="I258" s="97">
        <v>-880957.53</v>
      </c>
      <c r="J258" s="97">
        <v>-885004.58</v>
      </c>
      <c r="K258" s="97"/>
    </row>
    <row r="259" spans="5:11" x14ac:dyDescent="0.25">
      <c r="E259" s="94" t="s">
        <v>231</v>
      </c>
      <c r="F259" s="97">
        <v>1116844.98</v>
      </c>
      <c r="G259" s="97">
        <v>0</v>
      </c>
      <c r="H259" s="97">
        <v>1092086.8400000001</v>
      </c>
      <c r="I259" s="97">
        <v>1090155.74</v>
      </c>
      <c r="J259" s="97">
        <v>866363.37</v>
      </c>
      <c r="K259" s="97"/>
    </row>
    <row r="260" spans="5:11" x14ac:dyDescent="0.25">
      <c r="E260" s="94" t="s">
        <v>232</v>
      </c>
      <c r="F260" s="97"/>
      <c r="G260" s="97">
        <v>0</v>
      </c>
      <c r="H260" s="97">
        <v>0</v>
      </c>
      <c r="I260" s="97">
        <v>0</v>
      </c>
      <c r="J260" s="97"/>
      <c r="K260" s="97"/>
    </row>
    <row r="261" spans="5:11" x14ac:dyDescent="0.25">
      <c r="E261" s="143" t="s">
        <v>233</v>
      </c>
      <c r="F261" s="97">
        <v>816060</v>
      </c>
      <c r="G261" s="97">
        <v>0</v>
      </c>
      <c r="H261" s="97">
        <v>1026581.99</v>
      </c>
      <c r="I261" s="97">
        <v>1056635.74</v>
      </c>
      <c r="J261" s="97">
        <v>857686.65</v>
      </c>
      <c r="K261" s="97"/>
    </row>
    <row r="262" spans="5:11" x14ac:dyDescent="0.25">
      <c r="E262" s="94" t="s">
        <v>234</v>
      </c>
      <c r="F262" s="97"/>
      <c r="G262" s="97">
        <v>0</v>
      </c>
      <c r="H262" s="97">
        <v>0</v>
      </c>
      <c r="I262" s="97">
        <v>0</v>
      </c>
      <c r="J262" s="97"/>
      <c r="K262" s="97"/>
    </row>
    <row r="263" spans="5:11" x14ac:dyDescent="0.25">
      <c r="E263" s="94" t="s">
        <v>235</v>
      </c>
      <c r="F263" s="97">
        <v>300784.98</v>
      </c>
      <c r="G263" s="97">
        <v>0</v>
      </c>
      <c r="H263" s="97">
        <v>65504.85</v>
      </c>
      <c r="I263" s="97">
        <v>33520</v>
      </c>
      <c r="J263" s="97">
        <v>8676.7199999999993</v>
      </c>
      <c r="K263" s="97"/>
    </row>
    <row r="264" spans="5:11" x14ac:dyDescent="0.25">
      <c r="E264" s="94" t="s">
        <v>236</v>
      </c>
      <c r="F264" s="97">
        <v>0</v>
      </c>
      <c r="G264" s="97">
        <v>0</v>
      </c>
      <c r="H264" s="97">
        <v>40264.29</v>
      </c>
      <c r="I264" s="97">
        <v>40102.03</v>
      </c>
      <c r="J264" s="97">
        <v>8185.83</v>
      </c>
      <c r="K264" s="97"/>
    </row>
    <row r="265" spans="5:11" x14ac:dyDescent="0.25">
      <c r="E265" s="94" t="s">
        <v>237</v>
      </c>
      <c r="F265" s="97"/>
      <c r="G265" s="97">
        <v>0</v>
      </c>
      <c r="H265" s="97">
        <v>0</v>
      </c>
      <c r="I265" s="97">
        <v>0</v>
      </c>
      <c r="J265" s="97"/>
      <c r="K265" s="97"/>
    </row>
    <row r="266" spans="5:11" x14ac:dyDescent="0.25">
      <c r="E266" s="94" t="s">
        <v>238</v>
      </c>
      <c r="F266" s="97"/>
      <c r="G266" s="97">
        <v>0</v>
      </c>
      <c r="H266" s="97">
        <v>0</v>
      </c>
      <c r="I266" s="97">
        <v>0</v>
      </c>
      <c r="J266" s="97"/>
      <c r="K266" s="97"/>
    </row>
    <row r="267" spans="5:11" x14ac:dyDescent="0.25">
      <c r="E267" s="94" t="s">
        <v>239</v>
      </c>
      <c r="F267" s="97">
        <v>0</v>
      </c>
      <c r="G267" s="97">
        <v>0</v>
      </c>
      <c r="H267" s="97">
        <v>40264.29</v>
      </c>
      <c r="I267" s="97">
        <v>40102.03</v>
      </c>
      <c r="J267" s="97">
        <v>8185.83</v>
      </c>
      <c r="K267" s="97"/>
    </row>
    <row r="268" spans="5:11" x14ac:dyDescent="0.25">
      <c r="E268" s="94" t="s">
        <v>240</v>
      </c>
      <c r="F268" s="97">
        <v>72067.02</v>
      </c>
      <c r="G268" s="97">
        <v>0</v>
      </c>
      <c r="H268" s="97">
        <v>-122978.79</v>
      </c>
      <c r="I268" s="97">
        <v>169096.18</v>
      </c>
      <c r="J268" s="97">
        <v>-26827.040000000001</v>
      </c>
      <c r="K268" s="97"/>
    </row>
    <row r="269" spans="5:11" x14ac:dyDescent="0.25">
      <c r="E269" s="94" t="s">
        <v>241</v>
      </c>
      <c r="F269" s="97">
        <v>0</v>
      </c>
      <c r="G269" s="97">
        <v>0</v>
      </c>
      <c r="H269" s="97">
        <v>0</v>
      </c>
      <c r="I269" s="97">
        <v>0</v>
      </c>
      <c r="J269" s="97"/>
      <c r="K269" s="97"/>
    </row>
    <row r="270" spans="5:11" x14ac:dyDescent="0.25">
      <c r="E270" s="94" t="s">
        <v>242</v>
      </c>
      <c r="F270" s="97"/>
      <c r="G270" s="97">
        <v>0</v>
      </c>
      <c r="H270" s="97">
        <v>0</v>
      </c>
      <c r="I270" s="97">
        <v>0</v>
      </c>
      <c r="J270" s="97"/>
      <c r="K270" s="97"/>
    </row>
    <row r="271" spans="5:11" x14ac:dyDescent="0.25">
      <c r="E271" s="94" t="s">
        <v>243</v>
      </c>
      <c r="F271" s="97"/>
      <c r="G271" s="97">
        <v>0</v>
      </c>
      <c r="H271" s="97">
        <v>0</v>
      </c>
      <c r="I271" s="97">
        <v>0</v>
      </c>
      <c r="J271" s="97"/>
      <c r="K271" s="97"/>
    </row>
    <row r="272" spans="5:11" x14ac:dyDescent="0.25">
      <c r="E272" s="94" t="s">
        <v>244</v>
      </c>
      <c r="F272" s="97"/>
      <c r="G272" s="97">
        <v>0</v>
      </c>
      <c r="H272" s="97">
        <v>0</v>
      </c>
      <c r="I272" s="97">
        <v>0</v>
      </c>
      <c r="J272" s="97"/>
      <c r="K272" s="97"/>
    </row>
    <row r="273" spans="5:11" x14ac:dyDescent="0.25">
      <c r="E273" s="94" t="s">
        <v>245</v>
      </c>
      <c r="F273" s="97"/>
      <c r="G273" s="97">
        <v>0</v>
      </c>
      <c r="H273" s="97">
        <v>0</v>
      </c>
      <c r="I273" s="97">
        <v>0</v>
      </c>
      <c r="J273" s="97"/>
      <c r="K273" s="97"/>
    </row>
    <row r="274" spans="5:11" x14ac:dyDescent="0.25">
      <c r="E274" s="94" t="s">
        <v>244</v>
      </c>
      <c r="F274" s="97"/>
      <c r="G274" s="97">
        <v>0</v>
      </c>
      <c r="H274" s="97">
        <v>0</v>
      </c>
      <c r="I274" s="97">
        <v>0</v>
      </c>
      <c r="J274" s="97"/>
      <c r="K274" s="97"/>
    </row>
    <row r="275" spans="5:11" x14ac:dyDescent="0.25">
      <c r="E275" s="94" t="s">
        <v>246</v>
      </c>
      <c r="F275" s="97">
        <v>0</v>
      </c>
      <c r="G275" s="97">
        <v>0</v>
      </c>
      <c r="H275" s="97">
        <v>0</v>
      </c>
      <c r="I275" s="97">
        <v>0</v>
      </c>
      <c r="J275" s="97"/>
      <c r="K275" s="97"/>
    </row>
    <row r="276" spans="5:11" x14ac:dyDescent="0.25">
      <c r="E276" s="94" t="s">
        <v>247</v>
      </c>
      <c r="F276" s="97"/>
      <c r="G276" s="97">
        <v>0</v>
      </c>
      <c r="H276" s="97">
        <v>0</v>
      </c>
      <c r="I276" s="97">
        <v>0</v>
      </c>
      <c r="J276" s="97"/>
      <c r="K276" s="97"/>
    </row>
    <row r="277" spans="5:11" x14ac:dyDescent="0.25">
      <c r="E277" s="94" t="s">
        <v>248</v>
      </c>
      <c r="F277" s="97"/>
      <c r="G277" s="97">
        <v>0</v>
      </c>
      <c r="H277" s="97">
        <v>0</v>
      </c>
      <c r="I277" s="97">
        <v>0</v>
      </c>
      <c r="J277" s="97"/>
      <c r="K277" s="97"/>
    </row>
    <row r="278" spans="5:11" x14ac:dyDescent="0.25">
      <c r="E278" s="94" t="s">
        <v>249</v>
      </c>
      <c r="F278" s="97"/>
      <c r="G278" s="97">
        <v>0</v>
      </c>
      <c r="H278" s="97">
        <v>0</v>
      </c>
      <c r="I278" s="97">
        <v>0</v>
      </c>
      <c r="J278" s="97"/>
      <c r="K278" s="97"/>
    </row>
    <row r="279" spans="5:11" x14ac:dyDescent="0.25">
      <c r="E279" s="94" t="s">
        <v>250</v>
      </c>
      <c r="F279" s="97"/>
      <c r="G279" s="97">
        <v>0</v>
      </c>
      <c r="H279" s="97">
        <v>0</v>
      </c>
      <c r="I279" s="97">
        <v>0</v>
      </c>
      <c r="J279" s="97"/>
      <c r="K279" s="97"/>
    </row>
    <row r="280" spans="5:11" x14ac:dyDescent="0.25">
      <c r="E280" s="94" t="s">
        <v>251</v>
      </c>
      <c r="F280" s="97">
        <v>0</v>
      </c>
      <c r="G280" s="97">
        <v>0</v>
      </c>
      <c r="H280" s="97">
        <v>0</v>
      </c>
      <c r="I280" s="97">
        <v>0</v>
      </c>
      <c r="J280" s="97"/>
      <c r="K280" s="97"/>
    </row>
    <row r="281" spans="5:11" x14ac:dyDescent="0.25">
      <c r="E281" s="94" t="s">
        <v>252</v>
      </c>
      <c r="F281" s="97">
        <v>0</v>
      </c>
      <c r="G281" s="97">
        <v>0</v>
      </c>
      <c r="H281" s="97">
        <v>2.77</v>
      </c>
      <c r="I281" s="97">
        <v>0.53</v>
      </c>
      <c r="J281" s="97">
        <v>361.28</v>
      </c>
      <c r="K281" s="97"/>
    </row>
    <row r="282" spans="5:11" x14ac:dyDescent="0.25">
      <c r="E282" s="94" t="s">
        <v>253</v>
      </c>
      <c r="F282" s="97">
        <v>0</v>
      </c>
      <c r="G282" s="97">
        <v>0</v>
      </c>
      <c r="H282" s="97">
        <v>2.77</v>
      </c>
      <c r="I282" s="97">
        <v>0</v>
      </c>
      <c r="J282" s="97">
        <v>361.28</v>
      </c>
      <c r="K282" s="97"/>
    </row>
    <row r="283" spans="5:11" x14ac:dyDescent="0.25">
      <c r="E283" s="94" t="s">
        <v>254</v>
      </c>
      <c r="F283" s="97"/>
      <c r="G283" s="97">
        <v>0</v>
      </c>
      <c r="H283" s="97">
        <v>0</v>
      </c>
      <c r="I283" s="97">
        <v>0</v>
      </c>
      <c r="J283" s="97"/>
      <c r="K283" s="97"/>
    </row>
    <row r="284" spans="5:11" x14ac:dyDescent="0.25">
      <c r="E284" s="94" t="s">
        <v>255</v>
      </c>
      <c r="F284" s="97"/>
      <c r="G284" s="97">
        <v>0</v>
      </c>
      <c r="H284" s="97">
        <v>0</v>
      </c>
      <c r="I284" s="97">
        <v>0</v>
      </c>
      <c r="J284" s="97"/>
      <c r="K284" s="97"/>
    </row>
    <row r="285" spans="5:11" x14ac:dyDescent="0.25">
      <c r="E285" s="94" t="s">
        <v>249</v>
      </c>
      <c r="F285" s="97"/>
      <c r="G285" s="97">
        <v>0</v>
      </c>
      <c r="H285" s="97">
        <v>0</v>
      </c>
      <c r="I285" s="97">
        <v>0</v>
      </c>
      <c r="J285" s="97"/>
      <c r="K285" s="97"/>
    </row>
    <row r="286" spans="5:11" x14ac:dyDescent="0.25">
      <c r="E286" s="94" t="s">
        <v>256</v>
      </c>
      <c r="F286" s="97"/>
      <c r="G286" s="97">
        <v>0</v>
      </c>
      <c r="H286" s="97">
        <v>0</v>
      </c>
      <c r="I286" s="97">
        <v>0</v>
      </c>
      <c r="J286" s="97"/>
      <c r="K286" s="97"/>
    </row>
    <row r="287" spans="5:11" x14ac:dyDescent="0.25">
      <c r="E287" s="94" t="s">
        <v>257</v>
      </c>
      <c r="F287" s="97">
        <v>0</v>
      </c>
      <c r="G287" s="97">
        <v>0</v>
      </c>
      <c r="H287" s="97">
        <v>0</v>
      </c>
      <c r="I287" s="97">
        <v>0.53</v>
      </c>
      <c r="J287" s="97"/>
      <c r="K287" s="97"/>
    </row>
    <row r="288" spans="5:11" x14ac:dyDescent="0.25">
      <c r="E288" s="94" t="s">
        <v>270</v>
      </c>
      <c r="F288" s="97"/>
      <c r="G288" s="97"/>
      <c r="H288" s="97"/>
      <c r="I288" s="97"/>
      <c r="J288" s="97"/>
      <c r="K288" s="97"/>
    </row>
    <row r="289" spans="5:11" x14ac:dyDescent="0.25">
      <c r="E289" s="94" t="s">
        <v>271</v>
      </c>
      <c r="F289" s="97"/>
      <c r="G289" s="97"/>
      <c r="H289" s="97"/>
      <c r="I289" s="97"/>
      <c r="J289" s="97"/>
      <c r="K289" s="97"/>
    </row>
    <row r="290" spans="5:11" x14ac:dyDescent="0.25">
      <c r="E290" s="94" t="s">
        <v>272</v>
      </c>
      <c r="F290" s="97"/>
      <c r="G290" s="97"/>
      <c r="H290" s="97"/>
      <c r="I290" s="97"/>
      <c r="J290" s="97"/>
      <c r="K290" s="97"/>
    </row>
    <row r="291" spans="5:11" x14ac:dyDescent="0.25">
      <c r="E291" s="94" t="s">
        <v>273</v>
      </c>
      <c r="F291" s="97"/>
      <c r="G291" s="97"/>
      <c r="H291" s="97"/>
      <c r="I291" s="97"/>
      <c r="J291" s="97"/>
      <c r="K291" s="97"/>
    </row>
    <row r="292" spans="5:11" x14ac:dyDescent="0.25">
      <c r="E292" s="94" t="s">
        <v>258</v>
      </c>
      <c r="F292" s="97">
        <v>72067.02</v>
      </c>
      <c r="G292" s="97">
        <v>0</v>
      </c>
      <c r="H292" s="97">
        <v>-122981.56</v>
      </c>
      <c r="I292" s="97">
        <v>169095.65</v>
      </c>
      <c r="J292" s="97">
        <v>-27188.32</v>
      </c>
      <c r="K292" s="97"/>
    </row>
    <row r="293" spans="5:11" x14ac:dyDescent="0.25">
      <c r="E293" s="94" t="s">
        <v>259</v>
      </c>
      <c r="F293" s="97">
        <v>0</v>
      </c>
      <c r="G293" s="97">
        <v>0</v>
      </c>
      <c r="H293" s="97">
        <v>0</v>
      </c>
      <c r="I293" s="97">
        <v>404</v>
      </c>
      <c r="J293" s="97"/>
      <c r="K293" s="97"/>
    </row>
    <row r="294" spans="5:11" x14ac:dyDescent="0.25">
      <c r="E294" s="94" t="s">
        <v>260</v>
      </c>
      <c r="F294" s="97"/>
      <c r="G294" s="97">
        <v>0</v>
      </c>
      <c r="H294" s="97">
        <v>0</v>
      </c>
      <c r="I294" s="97">
        <v>0</v>
      </c>
      <c r="J294" s="97"/>
      <c r="K294" s="97"/>
    </row>
    <row r="295" spans="5:11" x14ac:dyDescent="0.25">
      <c r="E295" s="94" t="s">
        <v>261</v>
      </c>
      <c r="F295" s="97">
        <v>72067.02</v>
      </c>
      <c r="G295" s="97">
        <v>0</v>
      </c>
      <c r="H295" s="97">
        <v>-122981.56</v>
      </c>
      <c r="I295" s="97">
        <v>168691.65</v>
      </c>
      <c r="J295" s="97">
        <v>-27188.32</v>
      </c>
      <c r="K295" s="97"/>
    </row>
    <row r="296" spans="5:11" x14ac:dyDescent="0.25">
      <c r="F296" s="97"/>
      <c r="G296" s="97"/>
      <c r="H296" s="97"/>
      <c r="I296" s="97"/>
      <c r="J296" s="97"/>
      <c r="K296" s="97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1FED9-906B-4E57-8BD8-5A0F5215A6D7}">
  <sheetPr>
    <tabColor theme="4" tint="0.79998168889431442"/>
  </sheetPr>
  <dimension ref="A1:L304"/>
  <sheetViews>
    <sheetView topLeftCell="A432" workbookViewId="0">
      <selection sqref="A1:L453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.6640625" style="43" customWidth="1"/>
    <col min="13" max="13" width="15" style="43" customWidth="1"/>
    <col min="14" max="16384" width="9.109375" style="43"/>
  </cols>
  <sheetData>
    <row r="1" spans="1:11" ht="13.8" x14ac:dyDescent="0.25">
      <c r="E1" s="181" t="s">
        <v>412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1.0398813600302774</v>
      </c>
      <c r="B4" s="139">
        <f>MAX(F4:K4)</f>
        <v>1.6494270692486457</v>
      </c>
      <c r="C4" s="155">
        <f>AVERAGE(F4:K4)</f>
        <v>1.2134857823478116</v>
      </c>
      <c r="D4" s="156">
        <f>MEDIAN(F4:K4)</f>
        <v>1.0978511141242713</v>
      </c>
      <c r="E4" s="47" t="s">
        <v>364</v>
      </c>
      <c r="F4" s="71">
        <f>SUM(F9:F12)/SUM(F13:F15)</f>
        <v>1.3441674326170681</v>
      </c>
      <c r="G4" s="71">
        <f t="shared" ref="G4:K4" si="0">SUM(G9:G12)/SUM(G13:G15)</f>
        <v>1.6494270692486457</v>
      </c>
      <c r="H4" s="71">
        <f t="shared" si="0"/>
        <v>1.1067348537122637</v>
      </c>
      <c r="I4" s="71">
        <f t="shared" si="0"/>
        <v>1.0517366039423344</v>
      </c>
      <c r="J4" s="71">
        <f t="shared" si="0"/>
        <v>1.0398813600302774</v>
      </c>
      <c r="K4" s="71">
        <f t="shared" si="0"/>
        <v>1.0889673745362791</v>
      </c>
    </row>
    <row r="5" spans="1:11" x14ac:dyDescent="0.25">
      <c r="A5" s="139">
        <f t="shared" ref="A5:A7" si="1">MIN(F5:K5)</f>
        <v>2.9580140747776937</v>
      </c>
      <c r="B5" s="139">
        <f t="shared" ref="B5:B7" si="2">MAX(F5:K5)</f>
        <v>910.02368256477644</v>
      </c>
      <c r="C5" s="155">
        <f t="shared" ref="C5:C7" si="3">AVERAGEIF(F5:K5,"&gt;0")</f>
        <v>199.20724335030528</v>
      </c>
      <c r="D5" s="156">
        <f t="shared" ref="D5:D7" si="4">_xlfn.AGGREGATE(12,6,F5:K5)</f>
        <v>34.992692276677531</v>
      </c>
      <c r="E5" s="47" t="s">
        <v>363</v>
      </c>
      <c r="F5" s="71">
        <f t="shared" ref="F5:K5" si="5">SUM(F9:F12)/F14</f>
        <v>4.396786385928209</v>
      </c>
      <c r="G5" s="71">
        <f t="shared" si="5"/>
        <v>3.4242722354906578</v>
      </c>
      <c r="H5" s="71">
        <f t="shared" si="5"/>
        <v>2.9580140747776937</v>
      </c>
      <c r="I5" s="71">
        <f t="shared" si="5"/>
        <v>65.588598167426852</v>
      </c>
      <c r="J5" s="71">
        <f t="shared" si="5"/>
        <v>208.85210667343193</v>
      </c>
      <c r="K5" s="71">
        <f t="shared" si="5"/>
        <v>910.02368256477644</v>
      </c>
    </row>
    <row r="6" spans="1:11" x14ac:dyDescent="0.25">
      <c r="A6" s="139">
        <f t="shared" si="1"/>
        <v>2.7313718686148607</v>
      </c>
      <c r="B6" s="139">
        <f t="shared" si="2"/>
        <v>910.00374193390155</v>
      </c>
      <c r="C6" s="155">
        <f t="shared" si="3"/>
        <v>198.80816774987974</v>
      </c>
      <c r="D6" s="156">
        <f t="shared" si="4"/>
        <v>34.432531412723201</v>
      </c>
      <c r="E6" s="47" t="s">
        <v>365</v>
      </c>
      <c r="F6" s="71">
        <f t="shared" ref="F6:K6" si="6">SUM(F10:F11)/F14</f>
        <v>4.3750904712939702</v>
      </c>
      <c r="G6" s="71">
        <f t="shared" si="6"/>
        <v>3.4176921582496833</v>
      </c>
      <c r="H6" s="71">
        <f t="shared" si="6"/>
        <v>2.7313718686148607</v>
      </c>
      <c r="I6" s="71">
        <f t="shared" si="6"/>
        <v>64.489972354152428</v>
      </c>
      <c r="J6" s="71">
        <f t="shared" si="6"/>
        <v>207.83113771306591</v>
      </c>
      <c r="K6" s="71">
        <f t="shared" si="6"/>
        <v>910.00374193390155</v>
      </c>
    </row>
    <row r="7" spans="1:11" ht="13.8" thickBot="1" x14ac:dyDescent="0.3">
      <c r="A7" s="139">
        <f t="shared" si="1"/>
        <v>0.61294430904754438</v>
      </c>
      <c r="B7" s="139">
        <f t="shared" si="2"/>
        <v>69.367231148133229</v>
      </c>
      <c r="C7" s="155">
        <f t="shared" si="3"/>
        <v>16.609155865006173</v>
      </c>
      <c r="D7" s="156">
        <f t="shared" si="4"/>
        <v>3.2106640938973294</v>
      </c>
      <c r="E7" s="49" t="s">
        <v>366</v>
      </c>
      <c r="F7" s="73">
        <f t="shared" ref="F7:K7" si="7">F11/F14</f>
        <v>1.6896247025603608</v>
      </c>
      <c r="G7" s="73">
        <f t="shared" si="7"/>
        <v>1.3317556742173779</v>
      </c>
      <c r="H7" s="73">
        <f t="shared" si="7"/>
        <v>0.61294430904754438</v>
      </c>
      <c r="I7" s="73">
        <f t="shared" si="7"/>
        <v>4.7317034852342985</v>
      </c>
      <c r="J7" s="73">
        <f t="shared" si="7"/>
        <v>21.921675870844226</v>
      </c>
      <c r="K7" s="73">
        <f t="shared" si="7"/>
        <v>69.367231148133229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2845.53</v>
      </c>
      <c r="G9" s="76">
        <f t="shared" ref="G9:K9" si="8">G127</f>
        <v>0</v>
      </c>
      <c r="H9" s="76">
        <f t="shared" si="8"/>
        <v>2733736</v>
      </c>
      <c r="I9" s="76">
        <f t="shared" si="8"/>
        <v>605976.98</v>
      </c>
      <c r="J9" s="76">
        <f t="shared" si="8"/>
        <v>3980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8743890.4000000004</v>
      </c>
      <c r="G10" s="76">
        <f t="shared" ref="G10:K10" si="9">G133</f>
        <v>11255926.68</v>
      </c>
      <c r="H10" s="76">
        <f t="shared" si="9"/>
        <v>25946594.489999998</v>
      </c>
      <c r="I10" s="76">
        <f t="shared" si="9"/>
        <v>37112756.950000003</v>
      </c>
      <c r="J10" s="76">
        <f t="shared" si="9"/>
        <v>21324438.07</v>
      </c>
      <c r="K10" s="76">
        <f t="shared" si="9"/>
        <v>17823965.5</v>
      </c>
    </row>
    <row r="11" spans="1:11" x14ac:dyDescent="0.25">
      <c r="E11" s="43" t="s">
        <v>287</v>
      </c>
      <c r="F11" s="76">
        <f>F151</f>
        <v>5501426.75</v>
      </c>
      <c r="G11" s="76">
        <f t="shared" ref="G11:K11" si="10">G151</f>
        <v>7186289.8700000001</v>
      </c>
      <c r="H11" s="76">
        <f t="shared" si="10"/>
        <v>7507369.0199999996</v>
      </c>
      <c r="I11" s="76">
        <f t="shared" si="10"/>
        <v>2938615.27</v>
      </c>
      <c r="J11" s="76">
        <f t="shared" si="10"/>
        <v>2514489.66</v>
      </c>
      <c r="K11" s="76">
        <f t="shared" si="10"/>
        <v>1470789.24</v>
      </c>
    </row>
    <row r="12" spans="1:11" x14ac:dyDescent="0.25">
      <c r="E12" s="43" t="s">
        <v>290</v>
      </c>
      <c r="F12" s="76">
        <f>F168</f>
        <v>67796.479999999996</v>
      </c>
      <c r="G12" s="76">
        <f t="shared" ref="G12:K12" si="11">G168</f>
        <v>35506.769999999997</v>
      </c>
      <c r="H12" s="76">
        <f t="shared" si="11"/>
        <v>42187.77</v>
      </c>
      <c r="I12" s="76">
        <f t="shared" si="11"/>
        <v>76322.45</v>
      </c>
      <c r="J12" s="76">
        <f t="shared" si="11"/>
        <v>113128.56</v>
      </c>
      <c r="K12" s="76">
        <f t="shared" si="11"/>
        <v>422.8</v>
      </c>
    </row>
    <row r="13" spans="1:11" x14ac:dyDescent="0.25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F211</f>
        <v>3256005.16</v>
      </c>
      <c r="G14" s="76">
        <f t="shared" ref="G14:K14" si="13">G211</f>
        <v>5396102.3099999996</v>
      </c>
      <c r="H14" s="76">
        <f t="shared" si="13"/>
        <v>12248044.25</v>
      </c>
      <c r="I14" s="76">
        <f t="shared" si="13"/>
        <v>621048.06000000006</v>
      </c>
      <c r="J14" s="76">
        <f t="shared" si="13"/>
        <v>114703.35</v>
      </c>
      <c r="K14" s="76">
        <f t="shared" si="13"/>
        <v>21202.94</v>
      </c>
    </row>
    <row r="15" spans="1:11" x14ac:dyDescent="0.25">
      <c r="E15" s="43" t="s">
        <v>362</v>
      </c>
      <c r="F15" s="76">
        <f>F235</f>
        <v>7394423.3600000003</v>
      </c>
      <c r="G15" s="76">
        <f t="shared" ref="G15:K15" si="14">G235</f>
        <v>5806407.7400000002</v>
      </c>
      <c r="H15" s="76">
        <f t="shared" si="14"/>
        <v>20487788.690000001</v>
      </c>
      <c r="I15" s="76">
        <f t="shared" si="14"/>
        <v>38108869.200000003</v>
      </c>
      <c r="J15" s="76">
        <f t="shared" si="14"/>
        <v>22922574.949999999</v>
      </c>
      <c r="K15" s="76">
        <f t="shared" si="14"/>
        <v>17697580.920000002</v>
      </c>
    </row>
    <row r="16" spans="1:11" x14ac:dyDescent="0.25">
      <c r="F16" s="43"/>
      <c r="G16" s="43"/>
      <c r="H16" s="43"/>
      <c r="I16" s="43"/>
      <c r="J16" s="43"/>
      <c r="K16" s="43"/>
    </row>
    <row r="17" spans="1:12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2" x14ac:dyDescent="0.25">
      <c r="A19" s="152">
        <f t="shared" ref="A19:A25" si="15">MIN(F19:K19)</f>
        <v>10645.833779434757</v>
      </c>
      <c r="B19" s="152">
        <f t="shared" ref="B19:B25" si="16">MAX(F19:K19)</f>
        <v>66612.12104566046</v>
      </c>
      <c r="C19" s="156">
        <f>AVERAGE(F19:K19)</f>
        <v>28934.197457653547</v>
      </c>
      <c r="D19" s="156">
        <f>MEDIAN(F19:K19)</f>
        <v>24682.749142117391</v>
      </c>
      <c r="E19" s="47" t="s">
        <v>293</v>
      </c>
      <c r="F19" s="71">
        <f>F28/(F27/365)</f>
        <v>11585.184516729316</v>
      </c>
      <c r="G19" s="71">
        <f t="shared" ref="G19:K19" si="17">G28/(G27/365)</f>
        <v>10645.833779434757</v>
      </c>
      <c r="H19" s="71">
        <f t="shared" si="17"/>
        <v>25506.577378988542</v>
      </c>
      <c r="I19" s="71">
        <f t="shared" si="17"/>
        <v>35396.547119861978</v>
      </c>
      <c r="J19" s="71">
        <f t="shared" si="17"/>
        <v>23858.920905246236</v>
      </c>
      <c r="K19" s="71">
        <f t="shared" si="17"/>
        <v>66612.12104566046</v>
      </c>
    </row>
    <row r="20" spans="1:12" x14ac:dyDescent="0.25">
      <c r="A20" s="152">
        <f t="shared" si="15"/>
        <v>0</v>
      </c>
      <c r="B20" s="152">
        <f t="shared" si="16"/>
        <v>2687.3757496229568</v>
      </c>
      <c r="C20" s="156">
        <f t="shared" ref="C20:C25" si="18">AVERAGE(F20:K20)</f>
        <v>545.59227862707223</v>
      </c>
      <c r="D20" s="156">
        <f t="shared" ref="D20:D25" si="19">MEDIAN(F20:K20)</f>
        <v>4.111605452916085</v>
      </c>
      <c r="E20" s="121" t="s">
        <v>367</v>
      </c>
      <c r="F20" s="71">
        <f>F29/(F27/365)</f>
        <v>3.7701742119147297</v>
      </c>
      <c r="G20" s="71">
        <f t="shared" ref="G20:K20" si="20">G29/(G27/365)</f>
        <v>0</v>
      </c>
      <c r="H20" s="71">
        <f t="shared" si="20"/>
        <v>2687.3757496229568</v>
      </c>
      <c r="I20" s="71">
        <f t="shared" si="20"/>
        <v>577.95471123364382</v>
      </c>
      <c r="J20" s="71">
        <f t="shared" si="20"/>
        <v>4.4530366939174408</v>
      </c>
      <c r="K20" s="71">
        <f t="shared" si="20"/>
        <v>0</v>
      </c>
    </row>
    <row r="21" spans="1:12" x14ac:dyDescent="0.25">
      <c r="A21" s="152">
        <f t="shared" si="15"/>
        <v>79.240099842197068</v>
      </c>
      <c r="B21" s="152">
        <f t="shared" si="16"/>
        <v>12040.334947397589</v>
      </c>
      <c r="C21" s="156">
        <f t="shared" si="18"/>
        <v>3709.6491732068134</v>
      </c>
      <c r="D21" s="156">
        <f t="shared" si="19"/>
        <v>2453.1802900893908</v>
      </c>
      <c r="E21" s="47" t="s">
        <v>368</v>
      </c>
      <c r="F21" s="71">
        <f>F30/(F27/365)</f>
        <v>4314.0317227698506</v>
      </c>
      <c r="G21" s="71">
        <f t="shared" ref="G21:K21" si="21">G30/(G27/365)</f>
        <v>5103.6231740169724</v>
      </c>
      <c r="H21" s="71">
        <f t="shared" si="21"/>
        <v>12040.334947397589</v>
      </c>
      <c r="I21" s="71">
        <f t="shared" si="21"/>
        <v>592.32885740893119</v>
      </c>
      <c r="J21" s="71">
        <f t="shared" si="21"/>
        <v>128.33623780534049</v>
      </c>
      <c r="K21" s="71">
        <f t="shared" si="21"/>
        <v>79.240099842197068</v>
      </c>
    </row>
    <row r="22" spans="1:12" x14ac:dyDescent="0.25">
      <c r="A22" s="152">
        <f t="shared" si="15"/>
        <v>5542.2106054177848</v>
      </c>
      <c r="B22" s="152">
        <f t="shared" si="16"/>
        <v>66532.880945818266</v>
      </c>
      <c r="C22" s="156">
        <f t="shared" si="18"/>
        <v>25770.140563073812</v>
      </c>
      <c r="D22" s="156">
        <f t="shared" si="19"/>
        <v>19944.327942674361</v>
      </c>
      <c r="E22" s="47" t="s">
        <v>294</v>
      </c>
      <c r="F22" s="71">
        <f>F19+F20-F21</f>
        <v>7274.9229681713805</v>
      </c>
      <c r="G22" s="71">
        <f t="shared" ref="G22:K22" si="22">G19+G20-G21</f>
        <v>5542.2106054177848</v>
      </c>
      <c r="H22" s="71">
        <f t="shared" si="22"/>
        <v>16153.618181213909</v>
      </c>
      <c r="I22" s="71">
        <f t="shared" si="22"/>
        <v>35382.172973686691</v>
      </c>
      <c r="J22" s="71">
        <f t="shared" si="22"/>
        <v>23735.037704134815</v>
      </c>
      <c r="K22" s="71">
        <f t="shared" si="22"/>
        <v>66532.880945818266</v>
      </c>
    </row>
    <row r="23" spans="1:12" x14ac:dyDescent="0.25">
      <c r="A23" s="152">
        <f t="shared" si="15"/>
        <v>5.0613707053329144E-3</v>
      </c>
      <c r="B23" s="152">
        <f t="shared" si="16"/>
        <v>2.0724937392631933E-2</v>
      </c>
      <c r="C23" s="156">
        <f t="shared" si="18"/>
        <v>1.3016163735317022E-2</v>
      </c>
      <c r="D23" s="156">
        <f t="shared" si="19"/>
        <v>1.193168183221003E-2</v>
      </c>
      <c r="E23" s="47" t="s">
        <v>295</v>
      </c>
      <c r="F23" s="71">
        <f>F27/F31</f>
        <v>1.9052482717120876E-2</v>
      </c>
      <c r="G23" s="71">
        <f t="shared" ref="G23:K23" si="23">G27/G31</f>
        <v>2.0724937392631933E-2</v>
      </c>
      <c r="H23" s="71">
        <f t="shared" si="23"/>
        <v>1.0246316353492525E-2</v>
      </c>
      <c r="I23" s="71">
        <f t="shared" si="23"/>
        <v>9.3948279323963456E-3</v>
      </c>
      <c r="J23" s="71">
        <f t="shared" si="23"/>
        <v>1.3617047310927534E-2</v>
      </c>
      <c r="K23" s="71">
        <f t="shared" si="23"/>
        <v>5.0613707053329144E-3</v>
      </c>
    </row>
    <row r="24" spans="1:12" x14ac:dyDescent="0.25">
      <c r="A24" s="152">
        <f t="shared" si="15"/>
        <v>1.9237631284916201</v>
      </c>
      <c r="B24" s="152">
        <f t="shared" si="16"/>
        <v>318.91425833333329</v>
      </c>
      <c r="C24" s="156">
        <f t="shared" si="18"/>
        <v>121.3910121805814</v>
      </c>
      <c r="D24" s="156">
        <f t="shared" si="19"/>
        <v>66.47870694444444</v>
      </c>
      <c r="E24" s="121" t="s">
        <v>369</v>
      </c>
      <c r="F24" s="71">
        <f>F27/F32</f>
        <v>1.9237631284916201</v>
      </c>
      <c r="G24" s="71">
        <f t="shared" ref="G24:K24" si="24">G27/G32</f>
        <v>2.6949543994413405</v>
      </c>
      <c r="H24" s="71">
        <f t="shared" si="24"/>
        <v>51.568980555555555</v>
      </c>
      <c r="I24" s="71">
        <f t="shared" si="24"/>
        <v>318.91425833333329</v>
      </c>
      <c r="J24" s="71">
        <f t="shared" si="24"/>
        <v>271.85568333333333</v>
      </c>
      <c r="K24" s="71">
        <f t="shared" si="24"/>
        <v>81.388433333333325</v>
      </c>
    </row>
    <row r="25" spans="1:12" ht="13.8" thickBot="1" x14ac:dyDescent="0.3">
      <c r="A25" s="152">
        <f t="shared" si="15"/>
        <v>5.0616854806094722E-3</v>
      </c>
      <c r="B25" s="152">
        <f t="shared" si="16"/>
        <v>2.0885553015196894E-2</v>
      </c>
      <c r="C25" s="156">
        <f t="shared" si="18"/>
        <v>1.3075247757525624E-2</v>
      </c>
      <c r="D25" s="156">
        <f t="shared" si="19"/>
        <v>1.1933041013240263E-2</v>
      </c>
      <c r="E25" s="49" t="s">
        <v>296</v>
      </c>
      <c r="F25" s="73">
        <f>F27/F33</f>
        <v>1.9243061322060939E-2</v>
      </c>
      <c r="G25" s="73">
        <f t="shared" ref="G25:K25" si="25">G27/G33</f>
        <v>2.0885553015196894E-2</v>
      </c>
      <c r="H25" s="73">
        <f t="shared" si="25"/>
        <v>1.0248352613698775E-2</v>
      </c>
      <c r="I25" s="73">
        <f t="shared" si="25"/>
        <v>9.3951047008059233E-3</v>
      </c>
      <c r="J25" s="73">
        <f t="shared" si="25"/>
        <v>1.3617729412781752E-2</v>
      </c>
      <c r="K25" s="73">
        <f t="shared" si="25"/>
        <v>5.0616854806094722E-3</v>
      </c>
    </row>
    <row r="26" spans="1:12" x14ac:dyDescent="0.25">
      <c r="C26" s="155"/>
      <c r="D26" s="156"/>
      <c r="F26" s="43"/>
      <c r="G26" s="43"/>
      <c r="H26" s="43"/>
      <c r="I26" s="43"/>
      <c r="J26" s="43"/>
      <c r="K26" s="43"/>
    </row>
    <row r="27" spans="1:12" x14ac:dyDescent="0.25">
      <c r="E27" s="43" t="s">
        <v>304</v>
      </c>
      <c r="F27" s="76">
        <f>F241</f>
        <v>275482.88</v>
      </c>
      <c r="G27" s="76">
        <f t="shared" ref="G27:J27" si="26">G241</f>
        <v>385917.47</v>
      </c>
      <c r="H27" s="76">
        <f t="shared" si="26"/>
        <v>371296.66</v>
      </c>
      <c r="I27" s="76">
        <f t="shared" si="26"/>
        <v>382697.11</v>
      </c>
      <c r="J27" s="76">
        <f t="shared" si="26"/>
        <v>326226.82</v>
      </c>
      <c r="K27" s="144">
        <f>K254</f>
        <v>97666.12</v>
      </c>
      <c r="L27" s="43" t="s">
        <v>381</v>
      </c>
    </row>
    <row r="28" spans="1:12" x14ac:dyDescent="0.25">
      <c r="E28" s="43" t="s">
        <v>305</v>
      </c>
      <c r="F28" s="76">
        <f>F133</f>
        <v>8743890.4000000004</v>
      </c>
      <c r="G28" s="76">
        <f t="shared" ref="G28:K28" si="27">G133</f>
        <v>11255926.68</v>
      </c>
      <c r="H28" s="76">
        <f t="shared" si="27"/>
        <v>25946594.489999998</v>
      </c>
      <c r="I28" s="76">
        <f t="shared" si="27"/>
        <v>37112756.950000003</v>
      </c>
      <c r="J28" s="76">
        <f t="shared" si="27"/>
        <v>21324438.07</v>
      </c>
      <c r="K28" s="76">
        <f t="shared" si="27"/>
        <v>17823965.5</v>
      </c>
    </row>
    <row r="29" spans="1:12" x14ac:dyDescent="0.25">
      <c r="E29" s="43" t="s">
        <v>306</v>
      </c>
      <c r="F29" s="76">
        <f>F127</f>
        <v>2845.53</v>
      </c>
      <c r="G29" s="76">
        <f t="shared" ref="G29:K29" si="28">G127</f>
        <v>0</v>
      </c>
      <c r="H29" s="76">
        <f t="shared" si="28"/>
        <v>2733736</v>
      </c>
      <c r="I29" s="76">
        <f t="shared" si="28"/>
        <v>605976.98</v>
      </c>
      <c r="J29" s="76">
        <f t="shared" si="28"/>
        <v>3980</v>
      </c>
      <c r="K29" s="76">
        <f t="shared" si="28"/>
        <v>0</v>
      </c>
    </row>
    <row r="30" spans="1:12" x14ac:dyDescent="0.25">
      <c r="E30" s="43" t="s">
        <v>307</v>
      </c>
      <c r="F30" s="76">
        <f>F211</f>
        <v>3256005.16</v>
      </c>
      <c r="G30" s="76">
        <f t="shared" ref="G30:K30" si="29">G211</f>
        <v>5396102.3099999996</v>
      </c>
      <c r="H30" s="76">
        <f t="shared" si="29"/>
        <v>12248044.25</v>
      </c>
      <c r="I30" s="76">
        <f t="shared" si="29"/>
        <v>621048.06000000006</v>
      </c>
      <c r="J30" s="76">
        <f t="shared" si="29"/>
        <v>114703.35</v>
      </c>
      <c r="K30" s="76">
        <f t="shared" si="29"/>
        <v>21202.94</v>
      </c>
    </row>
    <row r="31" spans="1:12" x14ac:dyDescent="0.25">
      <c r="E31" s="43" t="s">
        <v>303</v>
      </c>
      <c r="F31" s="76">
        <f>F171</f>
        <v>14459159.16</v>
      </c>
      <c r="G31" s="76">
        <f t="shared" ref="G31:K31" si="30">G171</f>
        <v>18620923.32</v>
      </c>
      <c r="H31" s="76">
        <f t="shared" si="30"/>
        <v>36237087.280000001</v>
      </c>
      <c r="I31" s="76">
        <f t="shared" si="30"/>
        <v>40734871.649999999</v>
      </c>
      <c r="J31" s="76">
        <f t="shared" si="30"/>
        <v>23957236.289999999</v>
      </c>
      <c r="K31" s="76">
        <f t="shared" si="30"/>
        <v>19296377.539999999</v>
      </c>
    </row>
    <row r="32" spans="1:12" x14ac:dyDescent="0.25">
      <c r="E32" s="43" t="s">
        <v>308</v>
      </c>
      <c r="F32" s="76">
        <f>F84</f>
        <v>143200</v>
      </c>
      <c r="G32" s="76">
        <f t="shared" ref="G32:K32" si="31">G84</f>
        <v>143200</v>
      </c>
      <c r="H32" s="76">
        <f t="shared" si="31"/>
        <v>7200</v>
      </c>
      <c r="I32" s="76">
        <f t="shared" si="31"/>
        <v>1200</v>
      </c>
      <c r="J32" s="76">
        <f t="shared" si="31"/>
        <v>1200</v>
      </c>
      <c r="K32" s="76">
        <f t="shared" si="31"/>
        <v>1200</v>
      </c>
    </row>
    <row r="33" spans="1:12" x14ac:dyDescent="0.25">
      <c r="E33" s="43" t="s">
        <v>309</v>
      </c>
      <c r="F33" s="76">
        <f>F126</f>
        <v>14315959.16</v>
      </c>
      <c r="G33" s="76">
        <f t="shared" ref="G33:K33" si="32">G126</f>
        <v>18477723.32</v>
      </c>
      <c r="H33" s="76">
        <f t="shared" si="32"/>
        <v>36229887.280000001</v>
      </c>
      <c r="I33" s="76">
        <f t="shared" si="32"/>
        <v>40733671.649999999</v>
      </c>
      <c r="J33" s="76">
        <f t="shared" si="32"/>
        <v>23956036.289999999</v>
      </c>
      <c r="K33" s="76">
        <f t="shared" si="32"/>
        <v>19295177.539999999</v>
      </c>
    </row>
    <row r="34" spans="1:12" x14ac:dyDescent="0.25">
      <c r="F34" s="43"/>
      <c r="G34" s="43"/>
      <c r="H34" s="43"/>
      <c r="I34" s="43"/>
      <c r="J34" s="43"/>
      <c r="K34" s="43"/>
    </row>
    <row r="35" spans="1:12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2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2" x14ac:dyDescent="0.25">
      <c r="A37" s="139">
        <f t="shared" ref="A37:A41" si="33">MIN(F37:K37)</f>
        <v>1.0988041644628809E-3</v>
      </c>
      <c r="B37" s="139">
        <f t="shared" ref="B37:B41" si="34">MAX(F37:K37)</f>
        <v>0.33799748184396566</v>
      </c>
      <c r="C37" s="160">
        <f t="shared" ref="C37:C41" si="35">AVERAGE(F37:K37)</f>
        <v>0.1456839352995429</v>
      </c>
      <c r="D37" s="160">
        <f t="shared" ref="D37:D41" si="36">MEDIAN(F37:K37)</f>
        <v>0.12021622264922412</v>
      </c>
      <c r="E37" s="126" t="s">
        <v>370</v>
      </c>
      <c r="F37" s="131">
        <f>F43/F44*100%</f>
        <v>0.22518634202516102</v>
      </c>
      <c r="G37" s="124">
        <f t="shared" ref="G37:K37" si="37">G43/G44*100%</f>
        <v>0.28978704317010201</v>
      </c>
      <c r="H37" s="124">
        <f t="shared" si="37"/>
        <v>0.33799748184396566</v>
      </c>
      <c r="I37" s="124">
        <f t="shared" si="37"/>
        <v>1.5246103273287227E-2</v>
      </c>
      <c r="J37" s="124">
        <f t="shared" si="37"/>
        <v>4.7878373202788161E-3</v>
      </c>
      <c r="K37" s="132">
        <f t="shared" si="37"/>
        <v>1.0988041644628809E-3</v>
      </c>
    </row>
    <row r="38" spans="1:12" x14ac:dyDescent="0.25">
      <c r="A38" s="139">
        <f t="shared" si="33"/>
        <v>1.344005130649357E-2</v>
      </c>
      <c r="B38" s="139">
        <f t="shared" si="34"/>
        <v>3.4981875238460969</v>
      </c>
      <c r="C38" s="155">
        <f t="shared" si="35"/>
        <v>0.92138998816524298</v>
      </c>
      <c r="D38" s="156">
        <f t="shared" si="36"/>
        <v>0.5185748798552049</v>
      </c>
      <c r="E38" s="127" t="s">
        <v>298</v>
      </c>
      <c r="F38" s="133">
        <f>F43/F45</f>
        <v>0.85487934636406848</v>
      </c>
      <c r="G38" s="122">
        <f t="shared" ref="G38:K38" si="38">G43/G45</f>
        <v>0.72739305746442995</v>
      </c>
      <c r="H38" s="122">
        <f t="shared" si="38"/>
        <v>3.4981875238460969</v>
      </c>
      <c r="I38" s="122">
        <f t="shared" si="38"/>
        <v>0.30975670224597979</v>
      </c>
      <c r="J38" s="122">
        <f t="shared" si="38"/>
        <v>0.12468324776438977</v>
      </c>
      <c r="K38" s="134">
        <f t="shared" si="38"/>
        <v>1.344005130649357E-2</v>
      </c>
    </row>
    <row r="39" spans="1:12" x14ac:dyDescent="0.25">
      <c r="A39" s="139">
        <f t="shared" si="33"/>
        <v>2.5100951702573457</v>
      </c>
      <c r="B39" s="139">
        <f t="shared" si="34"/>
        <v>26.041663369867575</v>
      </c>
      <c r="C39" s="155">
        <f t="shared" si="35"/>
        <v>12.541075767358267</v>
      </c>
      <c r="D39" s="156">
        <f t="shared" si="36"/>
        <v>11.290634986777143</v>
      </c>
      <c r="E39" s="127" t="s">
        <v>299</v>
      </c>
      <c r="F39" s="133">
        <f>F44/F45</f>
        <v>3.7963196998357436</v>
      </c>
      <c r="G39" s="122">
        <f t="shared" ref="G39:K39" si="39">G44/G45</f>
        <v>2.5100951702573457</v>
      </c>
      <c r="H39" s="122">
        <f t="shared" si="39"/>
        <v>10.349744337625014</v>
      </c>
      <c r="I39" s="122">
        <f t="shared" si="39"/>
        <v>20.317106390634653</v>
      </c>
      <c r="J39" s="122">
        <f t="shared" si="39"/>
        <v>26.041663369867575</v>
      </c>
      <c r="K39" s="134">
        <f t="shared" si="39"/>
        <v>12.231525635929271</v>
      </c>
    </row>
    <row r="40" spans="1:12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2" ht="13.8" thickBot="1" x14ac:dyDescent="0.3">
      <c r="A41" s="139">
        <f t="shared" si="33"/>
        <v>-468.71353572439591</v>
      </c>
      <c r="B41" s="139">
        <f t="shared" si="34"/>
        <v>55868.981111111112</v>
      </c>
      <c r="C41" s="155">
        <f t="shared" si="35"/>
        <v>11611.890413678042</v>
      </c>
      <c r="D41" s="156">
        <f t="shared" si="36"/>
        <v>793.27900026699547</v>
      </c>
      <c r="E41" s="129" t="s">
        <v>300</v>
      </c>
      <c r="F41" s="135">
        <f>(F47+F48)/F48</f>
        <v>-319.31779547369752</v>
      </c>
      <c r="G41" s="123">
        <f t="shared" ref="G41:K41" si="41">(G47+G48)/G48</f>
        <v>13003.834701621248</v>
      </c>
      <c r="H41" s="123">
        <f t="shared" si="41"/>
        <v>1347.5501120400284</v>
      </c>
      <c r="I41" s="123">
        <f t="shared" si="41"/>
        <v>239.00788849396255</v>
      </c>
      <c r="J41" s="123">
        <f t="shared" si="41"/>
        <v>-468.71353572439591</v>
      </c>
      <c r="K41" s="136">
        <f t="shared" si="41"/>
        <v>55868.981111111112</v>
      </c>
    </row>
    <row r="42" spans="1:12" x14ac:dyDescent="0.25">
      <c r="F42" s="43"/>
      <c r="G42" s="43"/>
      <c r="H42" s="43"/>
      <c r="I42" s="43"/>
      <c r="J42" s="43"/>
      <c r="K42" s="43"/>
    </row>
    <row r="43" spans="1:12" x14ac:dyDescent="0.25">
      <c r="E43" s="43" t="s">
        <v>318</v>
      </c>
      <c r="F43" s="76">
        <f>F202+F211</f>
        <v>3256005.16</v>
      </c>
      <c r="G43" s="76">
        <f t="shared" ref="G43:K43" si="42">G202+G211</f>
        <v>5396102.3099999996</v>
      </c>
      <c r="H43" s="76">
        <f t="shared" si="42"/>
        <v>12248044.25</v>
      </c>
      <c r="I43" s="76">
        <f t="shared" si="42"/>
        <v>621048.06000000006</v>
      </c>
      <c r="J43" s="76">
        <f t="shared" si="42"/>
        <v>114703.35</v>
      </c>
      <c r="K43" s="144">
        <f t="shared" si="42"/>
        <v>21202.94</v>
      </c>
    </row>
    <row r="44" spans="1:12" x14ac:dyDescent="0.25">
      <c r="E44" s="43" t="s">
        <v>303</v>
      </c>
      <c r="F44" s="76">
        <f>F171</f>
        <v>14459159.16</v>
      </c>
      <c r="G44" s="76">
        <f t="shared" ref="G44:K44" si="43">G171</f>
        <v>18620923.32</v>
      </c>
      <c r="H44" s="76">
        <f t="shared" si="43"/>
        <v>36237087.280000001</v>
      </c>
      <c r="I44" s="76">
        <f t="shared" si="43"/>
        <v>40734871.649999999</v>
      </c>
      <c r="J44" s="76">
        <f t="shared" si="43"/>
        <v>23957236.289999999</v>
      </c>
      <c r="K44" s="144">
        <f t="shared" si="43"/>
        <v>19296377.539999999</v>
      </c>
    </row>
    <row r="45" spans="1:12" x14ac:dyDescent="0.25">
      <c r="E45" s="43" t="s">
        <v>311</v>
      </c>
      <c r="F45" s="76">
        <f>F172</f>
        <v>3808730.64</v>
      </c>
      <c r="G45" s="76">
        <f t="shared" ref="G45:K45" si="44">G172</f>
        <v>7418413.2699999996</v>
      </c>
      <c r="H45" s="76">
        <f t="shared" si="44"/>
        <v>3501254.34</v>
      </c>
      <c r="I45" s="76">
        <f t="shared" si="44"/>
        <v>2004954.39</v>
      </c>
      <c r="J45" s="76">
        <f t="shared" si="44"/>
        <v>919957.99</v>
      </c>
      <c r="K45" s="144">
        <f t="shared" si="44"/>
        <v>1577593.68</v>
      </c>
    </row>
    <row r="46" spans="1:12" x14ac:dyDescent="0.25">
      <c r="E46" s="43" t="s">
        <v>312</v>
      </c>
      <c r="F46" s="76">
        <f>F202</f>
        <v>0</v>
      </c>
      <c r="G46" s="76">
        <f t="shared" ref="G46:K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144">
        <f t="shared" si="45"/>
        <v>0</v>
      </c>
    </row>
    <row r="47" spans="1:12" x14ac:dyDescent="0.25">
      <c r="E47" s="43" t="s">
        <v>313</v>
      </c>
      <c r="F47" s="76">
        <f>F250</f>
        <v>-3702303.55</v>
      </c>
      <c r="G47" s="76">
        <f t="shared" ref="G47:J47" si="46">G250</f>
        <v>3769521.78</v>
      </c>
      <c r="H47" s="76">
        <f t="shared" si="46"/>
        <v>1496299.95</v>
      </c>
      <c r="I47" s="76">
        <f t="shared" si="46"/>
        <v>869845.05</v>
      </c>
      <c r="J47" s="76">
        <f t="shared" si="46"/>
        <v>-547559.16</v>
      </c>
      <c r="K47" s="144">
        <f>K301</f>
        <v>502811.83</v>
      </c>
      <c r="L47" s="43" t="s">
        <v>381</v>
      </c>
    </row>
    <row r="48" spans="1:12" x14ac:dyDescent="0.25">
      <c r="E48" s="43" t="s">
        <v>314</v>
      </c>
      <c r="F48" s="76">
        <f>F249</f>
        <v>11558.22</v>
      </c>
      <c r="G48" s="76">
        <f t="shared" ref="G48:J48" si="47">G249</f>
        <v>289.89999999999998</v>
      </c>
      <c r="H48" s="76">
        <f t="shared" si="47"/>
        <v>1111.21</v>
      </c>
      <c r="I48" s="76">
        <f t="shared" si="47"/>
        <v>3654.69</v>
      </c>
      <c r="J48" s="76">
        <f t="shared" si="47"/>
        <v>1165.73</v>
      </c>
      <c r="K48" s="144">
        <f>K295</f>
        <v>9</v>
      </c>
      <c r="L48" s="43" t="s">
        <v>381</v>
      </c>
    </row>
    <row r="49" spans="1:12" x14ac:dyDescent="0.25">
      <c r="F49" s="43"/>
      <c r="G49" s="43"/>
      <c r="H49" s="43"/>
      <c r="I49" s="43"/>
      <c r="J49" s="43"/>
      <c r="K49" s="43"/>
    </row>
    <row r="50" spans="1:12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2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2" x14ac:dyDescent="0.25">
      <c r="A52" s="139">
        <f t="shared" ref="A52:A63" si="48">MIN(F52:K52)</f>
        <v>-0.35127815946295449</v>
      </c>
      <c r="B52" s="139">
        <f t="shared" ref="B52:B63" si="49">MAX(F52:K52)</f>
        <v>0.18824310062506422</v>
      </c>
      <c r="C52" s="160">
        <f t="shared" ref="C52:C63" si="50">AVERAGE(F52:K52)</f>
        <v>-5.6473800801371933E-3</v>
      </c>
      <c r="D52" s="160">
        <f t="shared" ref="D52:D63" si="51">MEDIAN(F52:K52)</f>
        <v>7.8807987485264949E-2</v>
      </c>
      <c r="E52" s="50" t="s">
        <v>350</v>
      </c>
      <c r="F52" s="119">
        <f t="shared" ref="F52:K52" si="52">(F65/(F70+F71))*100%</f>
        <v>-0.35127815946295449</v>
      </c>
      <c r="G52" s="119">
        <f t="shared" si="52"/>
        <v>0.18824310062506422</v>
      </c>
      <c r="H52" s="119">
        <f t="shared" si="52"/>
        <v>8.1946189459966859E-2</v>
      </c>
      <c r="I52" s="119">
        <f t="shared" si="52"/>
        <v>7.566978551056304E-2</v>
      </c>
      <c r="J52" s="119">
        <f t="shared" si="52"/>
        <v>-0.11241158435519796</v>
      </c>
      <c r="K52" s="120">
        <f t="shared" si="52"/>
        <v>8.3946387741735171E-2</v>
      </c>
    </row>
    <row r="53" spans="1:12" x14ac:dyDescent="0.25">
      <c r="A53" s="139">
        <f t="shared" si="48"/>
        <v>-54.355973289406805</v>
      </c>
      <c r="B53" s="139">
        <f t="shared" si="49"/>
        <v>-13.367189276467215</v>
      </c>
      <c r="C53" s="160">
        <f t="shared" si="50"/>
        <v>-37.697377853805364</v>
      </c>
      <c r="D53" s="160">
        <f t="shared" si="51"/>
        <v>-42.661747117111375</v>
      </c>
      <c r="E53" s="50" t="s">
        <v>351</v>
      </c>
      <c r="F53" s="119">
        <f>(F66/F70)*100%</f>
        <v>-46.449735569774788</v>
      </c>
      <c r="G53" s="119">
        <f t="shared" ref="G53:K53" si="53">(G66/G70)*100%</f>
        <v>-41.435053277064654</v>
      </c>
      <c r="H53" s="119">
        <f t="shared" si="53"/>
        <v>-43.888440957158089</v>
      </c>
      <c r="I53" s="119">
        <f t="shared" si="53"/>
        <v>-26.687874752960635</v>
      </c>
      <c r="J53" s="119">
        <f t="shared" si="53"/>
        <v>-13.367189276467215</v>
      </c>
      <c r="K53" s="120">
        <f t="shared" si="53"/>
        <v>-54.355973289406805</v>
      </c>
    </row>
    <row r="54" spans="1:12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2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2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2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2" x14ac:dyDescent="0.25">
      <c r="A58" s="139">
        <f t="shared" si="48"/>
        <v>-0.3530322360517178</v>
      </c>
      <c r="B58" s="139">
        <f t="shared" si="49"/>
        <v>0.18716172668386644</v>
      </c>
      <c r="C58" s="155">
        <f t="shared" si="50"/>
        <v>-6.1113043394671329E-3</v>
      </c>
      <c r="D58" s="156">
        <f t="shared" si="51"/>
        <v>7.8522822296119996E-2</v>
      </c>
      <c r="E58" s="50" t="s">
        <v>356</v>
      </c>
      <c r="F58" s="71">
        <f>F68/(F70+F71+F72+F73+F74+F75)</f>
        <v>-0.3530322360517178</v>
      </c>
      <c r="G58" s="71">
        <f t="shared" ref="G58:K58" si="54">G68/(G70+G71+G72+G73+G74)</f>
        <v>0.18716172668386644</v>
      </c>
      <c r="H58" s="71">
        <f t="shared" si="54"/>
        <v>8.1629880345981246E-2</v>
      </c>
      <c r="I58" s="71">
        <f t="shared" si="54"/>
        <v>7.5415764246258746E-2</v>
      </c>
      <c r="J58" s="71">
        <f t="shared" si="54"/>
        <v>-0.11296491855208832</v>
      </c>
      <c r="K58" s="72">
        <f t="shared" si="54"/>
        <v>8.5121957290896888E-2</v>
      </c>
    </row>
    <row r="59" spans="1:12" x14ac:dyDescent="0.25">
      <c r="A59" s="139">
        <f t="shared" si="48"/>
        <v>-0.3530322360517178</v>
      </c>
      <c r="B59" s="139">
        <f t="shared" si="49"/>
        <v>0.18695686535988928</v>
      </c>
      <c r="C59" s="155">
        <f t="shared" si="50"/>
        <v>-6.1594913848487046E-3</v>
      </c>
      <c r="D59" s="156">
        <f t="shared" si="51"/>
        <v>7.8485929158789561E-2</v>
      </c>
      <c r="E59" s="50" t="s">
        <v>361</v>
      </c>
      <c r="F59" s="71">
        <f>F69/(F70+F71+F72+F73+F74+F75)</f>
        <v>-0.3530322360517178</v>
      </c>
      <c r="G59" s="71">
        <f t="shared" ref="G59:K59" si="55">G69/(G70+G71+G72+G73+G74+G75)</f>
        <v>0.18695686535988928</v>
      </c>
      <c r="H59" s="71">
        <f t="shared" si="55"/>
        <v>8.1599123138836452E-2</v>
      </c>
      <c r="I59" s="71">
        <f t="shared" si="55"/>
        <v>7.537273517874267E-2</v>
      </c>
      <c r="J59" s="71">
        <f t="shared" si="55"/>
        <v>-0.11287531455260522</v>
      </c>
      <c r="K59" s="72">
        <f t="shared" si="55"/>
        <v>8.5021878617762378E-2</v>
      </c>
    </row>
    <row r="60" spans="1:12" ht="26.4" x14ac:dyDescent="0.25">
      <c r="A60" s="139">
        <f t="shared" si="48"/>
        <v>-0.25365850388771849</v>
      </c>
      <c r="B60" s="139">
        <f t="shared" si="49"/>
        <v>0.20360435811085223</v>
      </c>
      <c r="C60" s="160">
        <f t="shared" si="50"/>
        <v>2.6295447574361621E-3</v>
      </c>
      <c r="D60" s="160">
        <f t="shared" si="51"/>
        <v>2.3561599386727233E-2</v>
      </c>
      <c r="E60" s="50" t="s">
        <v>372</v>
      </c>
      <c r="F60" s="119">
        <f>F65/F79*100%</f>
        <v>-0.25365850388771849</v>
      </c>
      <c r="G60" s="119">
        <f t="shared" ref="G60:K60" si="56">G65/G79*100%</f>
        <v>0.20360435811085223</v>
      </c>
      <c r="H60" s="119">
        <f t="shared" si="56"/>
        <v>4.1451951653659509E-2</v>
      </c>
      <c r="I60" s="119">
        <f t="shared" si="56"/>
        <v>2.1425743954688516E-2</v>
      </c>
      <c r="J60" s="119">
        <f t="shared" si="56"/>
        <v>-2.2743736105630741E-2</v>
      </c>
      <c r="K60" s="120">
        <f t="shared" si="56"/>
        <v>2.5697454818765949E-2</v>
      </c>
    </row>
    <row r="61" spans="1:12" x14ac:dyDescent="0.25">
      <c r="A61" s="139">
        <f t="shared" si="48"/>
        <v>-0.25605247919547763</v>
      </c>
      <c r="B61" s="139">
        <f t="shared" si="49"/>
        <v>0.20243474049169757</v>
      </c>
      <c r="C61" s="155">
        <f t="shared" si="50"/>
        <v>2.0382759679313522E-3</v>
      </c>
      <c r="D61" s="156">
        <f t="shared" si="51"/>
        <v>2.3705567768773247E-2</v>
      </c>
      <c r="E61" s="50" t="s">
        <v>373</v>
      </c>
      <c r="F61" s="71">
        <f>F69/F79</f>
        <v>-0.25605247919547763</v>
      </c>
      <c r="G61" s="71">
        <f t="shared" ref="G61:K61" si="57">G69/G79</f>
        <v>0.20243474049169757</v>
      </c>
      <c r="H61" s="71">
        <f t="shared" si="57"/>
        <v>4.1291948727508208E-2</v>
      </c>
      <c r="I61" s="71">
        <f t="shared" si="57"/>
        <v>2.1353818356759202E-2</v>
      </c>
      <c r="J61" s="71">
        <f t="shared" si="57"/>
        <v>-2.2855689753686528E-2</v>
      </c>
      <c r="K61" s="72">
        <f t="shared" si="57"/>
        <v>2.6057317180787291E-2</v>
      </c>
    </row>
    <row r="62" spans="1:12" x14ac:dyDescent="0.25">
      <c r="A62" s="139">
        <f t="shared" si="48"/>
        <v>-5.0940672720240778</v>
      </c>
      <c r="B62" s="139">
        <f t="shared" si="49"/>
        <v>-0.97205707096157357</v>
      </c>
      <c r="C62" s="155">
        <f t="shared" si="50"/>
        <v>-3.4968498367092291</v>
      </c>
      <c r="D62" s="156">
        <f t="shared" si="51"/>
        <v>-4.0096559227931046</v>
      </c>
      <c r="E62" s="50" t="s">
        <v>374</v>
      </c>
      <c r="F62" s="71">
        <f>F69/F80</f>
        <v>-0.97205707096157357</v>
      </c>
      <c r="G62" s="71">
        <f>G66/G80</f>
        <v>-2.15551632781979</v>
      </c>
      <c r="H62" s="71">
        <f>H66/H80</f>
        <v>-4.6542267306407679</v>
      </c>
      <c r="I62" s="71">
        <f>I66/I80</f>
        <v>-5.0940672720240778</v>
      </c>
      <c r="J62" s="71">
        <f>J66/J80</f>
        <v>-4.740146503863726</v>
      </c>
      <c r="K62" s="72">
        <f>K66/K80</f>
        <v>-3.3650851149454404</v>
      </c>
    </row>
    <row r="63" spans="1:12" ht="13.8" thickBot="1" x14ac:dyDescent="0.3">
      <c r="A63" s="139">
        <f t="shared" si="48"/>
        <v>-0.96296877533980718</v>
      </c>
      <c r="B63" s="139">
        <f t="shared" si="49"/>
        <v>0.51106631593739715</v>
      </c>
      <c r="C63" s="155">
        <f t="shared" si="50"/>
        <v>2.2409686648732219E-2</v>
      </c>
      <c r="D63" s="156">
        <f t="shared" si="51"/>
        <v>0.3716680896524191</v>
      </c>
      <c r="E63" s="51" t="s">
        <v>302</v>
      </c>
      <c r="F63" s="73">
        <f t="shared" ref="F63:K63" si="58">F65/(F80+F81)</f>
        <v>-0.96296877533980718</v>
      </c>
      <c r="G63" s="73">
        <f t="shared" si="58"/>
        <v>0.51106631593739715</v>
      </c>
      <c r="H63" s="73">
        <f t="shared" si="58"/>
        <v>0.42901710191096831</v>
      </c>
      <c r="I63" s="73">
        <f t="shared" si="58"/>
        <v>0.43530911942590378</v>
      </c>
      <c r="J63" s="73">
        <f t="shared" si="58"/>
        <v>-0.59228471943593863</v>
      </c>
      <c r="K63" s="74">
        <f t="shared" si="58"/>
        <v>0.31431907739386988</v>
      </c>
    </row>
    <row r="64" spans="1:12" x14ac:dyDescent="0.25">
      <c r="F64" s="43"/>
      <c r="G64" s="43"/>
      <c r="H64" s="43"/>
      <c r="I64" s="43"/>
      <c r="J64" s="43"/>
      <c r="K64" s="43"/>
      <c r="L64" s="43" t="s">
        <v>382</v>
      </c>
    </row>
    <row r="65" spans="5:12" x14ac:dyDescent="0.25">
      <c r="E65" s="52" t="s">
        <v>360</v>
      </c>
      <c r="F65" s="76">
        <f>F250+F248-F249</f>
        <v>-3667688.68</v>
      </c>
      <c r="G65" s="76">
        <f t="shared" ref="G65:J65" si="59">G250+G248-G249</f>
        <v>3791301.1399999997</v>
      </c>
      <c r="H65" s="76">
        <f t="shared" si="59"/>
        <v>1502097.99</v>
      </c>
      <c r="I65" s="76">
        <f t="shared" si="59"/>
        <v>872774.93</v>
      </c>
      <c r="J65" s="76">
        <f t="shared" si="59"/>
        <v>-544877.06000000006</v>
      </c>
      <c r="K65" s="144">
        <f>K281</f>
        <v>495867.79</v>
      </c>
      <c r="L65" s="43" t="s">
        <v>381</v>
      </c>
    </row>
    <row r="66" spans="5:12" ht="26.4" x14ac:dyDescent="0.25">
      <c r="E66" s="52" t="s">
        <v>352</v>
      </c>
      <c r="F66" s="76">
        <f>F245</f>
        <v>-12796106.93</v>
      </c>
      <c r="G66" s="76">
        <f t="shared" ref="G66:J66" si="60">G245</f>
        <v>-15990510.93</v>
      </c>
      <c r="H66" s="76">
        <f t="shared" si="60"/>
        <v>-16295631.539999999</v>
      </c>
      <c r="I66" s="76">
        <f t="shared" si="60"/>
        <v>-10213372.539999999</v>
      </c>
      <c r="J66" s="76">
        <f t="shared" si="60"/>
        <v>-4360735.6500000004</v>
      </c>
      <c r="K66" s="144">
        <f>K271</f>
        <v>-5308737.01</v>
      </c>
      <c r="L66" s="43" t="s">
        <v>381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F250</f>
        <v>-3702303.55</v>
      </c>
      <c r="G68" s="76">
        <f t="shared" ref="G68:J68" si="61">G250</f>
        <v>3769521.78</v>
      </c>
      <c r="H68" s="76">
        <f t="shared" si="61"/>
        <v>1496299.95</v>
      </c>
      <c r="I68" s="76">
        <f t="shared" si="61"/>
        <v>869845.05</v>
      </c>
      <c r="J68" s="76">
        <f t="shared" si="61"/>
        <v>-547559.16</v>
      </c>
      <c r="K68" s="76">
        <f>K301</f>
        <v>502811.83</v>
      </c>
    </row>
    <row r="69" spans="5:12" x14ac:dyDescent="0.25">
      <c r="E69" s="43" t="s">
        <v>315</v>
      </c>
      <c r="F69" s="76">
        <f>F252</f>
        <v>-3702303.55</v>
      </c>
      <c r="G69" s="76">
        <f t="shared" ref="G69:J69" si="62">G252</f>
        <v>3769521.78</v>
      </c>
      <c r="H69" s="76">
        <f t="shared" si="62"/>
        <v>1496299.95</v>
      </c>
      <c r="I69" s="76">
        <f t="shared" si="62"/>
        <v>869845.05</v>
      </c>
      <c r="J69" s="76">
        <f t="shared" si="62"/>
        <v>-547559.16</v>
      </c>
      <c r="K69" s="76">
        <f>K304</f>
        <v>502811.83</v>
      </c>
    </row>
    <row r="70" spans="5:12" x14ac:dyDescent="0.25">
      <c r="E70" s="43" t="s">
        <v>358</v>
      </c>
      <c r="F70" s="76">
        <f>F241</f>
        <v>275482.88</v>
      </c>
      <c r="G70" s="76">
        <f t="shared" ref="G70:J70" si="63">G241</f>
        <v>385917.47</v>
      </c>
      <c r="H70" s="76">
        <f t="shared" si="63"/>
        <v>371296.66</v>
      </c>
      <c r="I70" s="76">
        <f t="shared" si="63"/>
        <v>382697.11</v>
      </c>
      <c r="J70" s="76">
        <f t="shared" si="63"/>
        <v>326226.82</v>
      </c>
      <c r="K70" s="144">
        <f>K254</f>
        <v>97666.12</v>
      </c>
      <c r="L70" s="43" t="s">
        <v>381</v>
      </c>
    </row>
    <row r="71" spans="5:12" x14ac:dyDescent="0.25">
      <c r="E71" s="43" t="s">
        <v>359</v>
      </c>
      <c r="F71" s="76">
        <f>F246</f>
        <v>10165498.380000001</v>
      </c>
      <c r="G71" s="76">
        <f t="shared" ref="G71:J71" si="64">G246</f>
        <v>19754534.57</v>
      </c>
      <c r="H71" s="76">
        <f t="shared" si="64"/>
        <v>17959000.329999998</v>
      </c>
      <c r="I71" s="76">
        <f t="shared" si="64"/>
        <v>11151297.92</v>
      </c>
      <c r="J71" s="76">
        <f t="shared" si="64"/>
        <v>4520934.29</v>
      </c>
      <c r="K71" s="144">
        <f>K272</f>
        <v>5809291.9199999999</v>
      </c>
      <c r="L71" s="43" t="s">
        <v>381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F248</f>
        <v>46173.09</v>
      </c>
      <c r="G75" s="76">
        <f t="shared" ref="G75:J75" si="65">G248</f>
        <v>22069.26</v>
      </c>
      <c r="H75" s="76">
        <f t="shared" si="65"/>
        <v>6909.25</v>
      </c>
      <c r="I75" s="76">
        <f t="shared" si="65"/>
        <v>6584.57</v>
      </c>
      <c r="J75" s="76">
        <f t="shared" si="65"/>
        <v>3847.83</v>
      </c>
      <c r="K75" s="144">
        <f>K282</f>
        <v>6953.04</v>
      </c>
      <c r="L75" s="43" t="s">
        <v>381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14459159.16</v>
      </c>
      <c r="G79" s="76">
        <f t="shared" ref="G79:J79" si="66">G171</f>
        <v>18620923.32</v>
      </c>
      <c r="H79" s="76">
        <f t="shared" si="66"/>
        <v>36237087.280000001</v>
      </c>
      <c r="I79" s="76">
        <f t="shared" si="66"/>
        <v>40734871.649999999</v>
      </c>
      <c r="J79" s="76">
        <f t="shared" si="66"/>
        <v>23957236.289999999</v>
      </c>
      <c r="K79" s="76">
        <f>K171</f>
        <v>19296377.539999999</v>
      </c>
    </row>
    <row r="80" spans="5:12" x14ac:dyDescent="0.25">
      <c r="E80" s="43" t="s">
        <v>311</v>
      </c>
      <c r="F80" s="76">
        <f>F172</f>
        <v>3808730.64</v>
      </c>
      <c r="G80" s="76">
        <f t="shared" ref="G80:J80" si="67">G172</f>
        <v>7418413.2699999996</v>
      </c>
      <c r="H80" s="76">
        <f t="shared" si="67"/>
        <v>3501254.34</v>
      </c>
      <c r="I80" s="76">
        <f t="shared" si="67"/>
        <v>2004954.39</v>
      </c>
      <c r="J80" s="76">
        <f t="shared" si="67"/>
        <v>919957.99</v>
      </c>
      <c r="K80" s="76">
        <f>K172</f>
        <v>1577593.68</v>
      </c>
    </row>
    <row r="81" spans="5:11" x14ac:dyDescent="0.25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ref="K81" si="69">K206+K223</f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5">
      <c r="E84" s="94" t="s">
        <v>102</v>
      </c>
      <c r="F84" s="97">
        <v>143200</v>
      </c>
      <c r="G84" s="97">
        <v>143200</v>
      </c>
      <c r="H84" s="97">
        <v>7200</v>
      </c>
      <c r="I84" s="97">
        <v>1200</v>
      </c>
      <c r="J84" s="97">
        <v>1200</v>
      </c>
      <c r="K84" s="97">
        <v>1200</v>
      </c>
    </row>
    <row r="85" spans="5:11" x14ac:dyDescent="0.25">
      <c r="E85" s="94" t="s">
        <v>103</v>
      </c>
      <c r="F85" s="97">
        <v>12000</v>
      </c>
      <c r="G85" s="97">
        <v>12000</v>
      </c>
      <c r="H85" s="97">
        <v>6000</v>
      </c>
      <c r="I85" s="97">
        <v>0</v>
      </c>
      <c r="J85" s="97">
        <v>0</v>
      </c>
      <c r="K85" s="97">
        <v>0</v>
      </c>
    </row>
    <row r="86" spans="5:11" x14ac:dyDescent="0.25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5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5">
      <c r="E88" s="94" t="s">
        <v>106</v>
      </c>
      <c r="F88" s="97"/>
      <c r="G88" s="97"/>
      <c r="H88" s="97"/>
      <c r="I88" s="97"/>
      <c r="J88" s="97"/>
      <c r="K88" s="97">
        <v>0</v>
      </c>
    </row>
    <row r="89" spans="5:11" x14ac:dyDescent="0.25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5">
      <c r="E90" s="94" t="s">
        <v>108</v>
      </c>
      <c r="F90" s="97">
        <v>130000</v>
      </c>
      <c r="G90" s="97">
        <v>130000</v>
      </c>
      <c r="H90" s="97">
        <v>0</v>
      </c>
      <c r="I90" s="97">
        <v>0</v>
      </c>
      <c r="J90" s="97">
        <v>0</v>
      </c>
      <c r="K90" s="97">
        <v>0</v>
      </c>
    </row>
    <row r="91" spans="5:11" x14ac:dyDescent="0.25">
      <c r="E91" s="94" t="s">
        <v>109</v>
      </c>
      <c r="F91" s="97"/>
      <c r="G91" s="97"/>
      <c r="H91" s="97"/>
      <c r="I91" s="97"/>
      <c r="J91" s="97"/>
      <c r="K91" s="97">
        <v>0</v>
      </c>
    </row>
    <row r="92" spans="5:11" x14ac:dyDescent="0.25">
      <c r="E92" s="94" t="s">
        <v>110</v>
      </c>
      <c r="F92" s="97"/>
      <c r="G92" s="97"/>
      <c r="H92" s="97"/>
      <c r="I92" s="97"/>
      <c r="J92" s="97"/>
      <c r="K92" s="97">
        <v>0</v>
      </c>
    </row>
    <row r="93" spans="5:11" x14ac:dyDescent="0.25">
      <c r="E93" s="94" t="s">
        <v>111</v>
      </c>
      <c r="F93" s="97"/>
      <c r="G93" s="97"/>
      <c r="H93" s="97"/>
      <c r="I93" s="97"/>
      <c r="J93" s="97"/>
      <c r="K93" s="97">
        <v>0</v>
      </c>
    </row>
    <row r="94" spans="5:11" x14ac:dyDescent="0.25">
      <c r="E94" s="94" t="s">
        <v>112</v>
      </c>
      <c r="F94" s="97"/>
      <c r="G94" s="97"/>
      <c r="H94" s="97"/>
      <c r="I94" s="97"/>
      <c r="J94" s="97"/>
      <c r="K94" s="97"/>
    </row>
    <row r="95" spans="5:11" x14ac:dyDescent="0.25">
      <c r="E95" s="94" t="s">
        <v>113</v>
      </c>
      <c r="F95" s="97"/>
      <c r="G95" s="97"/>
      <c r="H95" s="97"/>
      <c r="I95" s="97"/>
      <c r="J95" s="97"/>
      <c r="K95" s="97"/>
    </row>
    <row r="96" spans="5:11" x14ac:dyDescent="0.25">
      <c r="E96" s="94" t="s">
        <v>114</v>
      </c>
      <c r="F96" s="97"/>
      <c r="G96" s="97"/>
      <c r="H96" s="97"/>
      <c r="I96" s="97"/>
      <c r="J96" s="97"/>
      <c r="K96" s="97">
        <v>0</v>
      </c>
    </row>
    <row r="97" spans="5:11" x14ac:dyDescent="0.25">
      <c r="E97" s="94" t="s">
        <v>115</v>
      </c>
      <c r="F97" s="97"/>
      <c r="G97" s="97"/>
      <c r="H97" s="97"/>
      <c r="I97" s="97"/>
      <c r="J97" s="97"/>
      <c r="K97" s="97"/>
    </row>
    <row r="98" spans="5:11" x14ac:dyDescent="0.25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5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5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5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5">
      <c r="E103" s="94" t="s">
        <v>121</v>
      </c>
      <c r="F103" s="97">
        <v>1200</v>
      </c>
      <c r="G103" s="97">
        <v>1200</v>
      </c>
      <c r="H103" s="97">
        <v>1200</v>
      </c>
      <c r="I103" s="97">
        <v>1200</v>
      </c>
      <c r="J103" s="97">
        <v>1200</v>
      </c>
      <c r="K103" s="97">
        <v>1200</v>
      </c>
    </row>
    <row r="104" spans="5:11" x14ac:dyDescent="0.25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5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5">
      <c r="E106" s="94" t="s">
        <v>124</v>
      </c>
      <c r="F106" s="97"/>
      <c r="G106" s="97"/>
      <c r="H106" s="97"/>
      <c r="I106" s="97"/>
      <c r="J106" s="97"/>
      <c r="K106" s="97">
        <v>1200</v>
      </c>
    </row>
    <row r="107" spans="5:11" x14ac:dyDescent="0.25">
      <c r="E107" s="94" t="s">
        <v>125</v>
      </c>
      <c r="F107" s="97"/>
      <c r="G107" s="97"/>
      <c r="H107" s="97"/>
      <c r="I107" s="97"/>
      <c r="J107" s="97"/>
      <c r="K107" s="97">
        <v>1200</v>
      </c>
    </row>
    <row r="108" spans="5:11" x14ac:dyDescent="0.25">
      <c r="E108" s="94" t="s">
        <v>126</v>
      </c>
      <c r="F108" s="97"/>
      <c r="G108" s="97"/>
      <c r="H108" s="97"/>
      <c r="I108" s="97"/>
      <c r="J108" s="97"/>
      <c r="K108" s="97">
        <v>1200</v>
      </c>
    </row>
    <row r="109" spans="5:11" ht="15" customHeight="1" x14ac:dyDescent="0.25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5">
      <c r="E112" s="94" t="s">
        <v>130</v>
      </c>
      <c r="F112" s="97"/>
      <c r="G112" s="97"/>
      <c r="H112" s="97"/>
      <c r="I112" s="97"/>
      <c r="J112" s="97"/>
      <c r="K112" s="97">
        <v>0</v>
      </c>
    </row>
    <row r="113" spans="5:11" ht="15" customHeight="1" x14ac:dyDescent="0.25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5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5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5">
      <c r="E117" s="94" t="s">
        <v>131</v>
      </c>
      <c r="F117" s="97"/>
      <c r="G117" s="97"/>
      <c r="H117" s="97"/>
      <c r="I117" s="97"/>
      <c r="J117" s="97"/>
      <c r="K117" s="97">
        <v>0</v>
      </c>
    </row>
    <row r="118" spans="5:11" ht="15" customHeight="1" x14ac:dyDescent="0.25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5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5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5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5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/>
      <c r="I125" s="97"/>
      <c r="J125" s="97"/>
      <c r="K125" s="97">
        <v>0</v>
      </c>
    </row>
    <row r="126" spans="5:11" x14ac:dyDescent="0.25">
      <c r="E126" s="94" t="s">
        <v>136</v>
      </c>
      <c r="F126" s="97">
        <v>14315959.16</v>
      </c>
      <c r="G126" s="97">
        <v>18477723.32</v>
      </c>
      <c r="H126" s="97">
        <v>36229887.280000001</v>
      </c>
      <c r="I126" s="97">
        <v>40733671.649999999</v>
      </c>
      <c r="J126" s="97">
        <v>23956036.289999999</v>
      </c>
      <c r="K126" s="97">
        <v>19295177.539999999</v>
      </c>
    </row>
    <row r="127" spans="5:11" ht="15" customHeight="1" x14ac:dyDescent="0.25">
      <c r="E127" s="94" t="s">
        <v>137</v>
      </c>
      <c r="F127" s="97">
        <v>2845.53</v>
      </c>
      <c r="G127" s="97">
        <v>0</v>
      </c>
      <c r="H127" s="97">
        <v>2733736</v>
      </c>
      <c r="I127" s="97">
        <v>605976.98</v>
      </c>
      <c r="J127" s="97">
        <v>3980</v>
      </c>
      <c r="K127" s="97">
        <v>0</v>
      </c>
    </row>
    <row r="128" spans="5:11" ht="15" customHeight="1" x14ac:dyDescent="0.25">
      <c r="E128" s="94" t="s">
        <v>138</v>
      </c>
      <c r="F128" s="97"/>
      <c r="G128" s="97"/>
      <c r="H128" s="97"/>
      <c r="I128" s="97"/>
      <c r="J128" s="97"/>
      <c r="K128" s="97"/>
    </row>
    <row r="129" spans="5:11" ht="15" customHeight="1" x14ac:dyDescent="0.25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5">
      <c r="E131" s="94" t="s">
        <v>141</v>
      </c>
      <c r="F131" s="97"/>
      <c r="G131" s="97"/>
      <c r="H131" s="97"/>
      <c r="I131" s="97"/>
      <c r="J131" s="97"/>
      <c r="K131" s="97"/>
    </row>
    <row r="132" spans="5:11" x14ac:dyDescent="0.25">
      <c r="E132" s="94" t="s">
        <v>142</v>
      </c>
      <c r="F132" s="97"/>
      <c r="G132" s="97"/>
      <c r="H132" s="97"/>
      <c r="I132" s="97"/>
      <c r="J132" s="97"/>
      <c r="K132" s="97"/>
    </row>
    <row r="133" spans="5:11" x14ac:dyDescent="0.25">
      <c r="E133" s="94" t="s">
        <v>143</v>
      </c>
      <c r="F133" s="97">
        <v>8743890.4000000004</v>
      </c>
      <c r="G133" s="97">
        <v>11255926.68</v>
      </c>
      <c r="H133" s="97">
        <v>25946594.489999998</v>
      </c>
      <c r="I133" s="97">
        <v>37112756.950000003</v>
      </c>
      <c r="J133" s="97">
        <v>21324438.07</v>
      </c>
      <c r="K133" s="97">
        <v>17823965.5</v>
      </c>
    </row>
    <row r="134" spans="5:11" x14ac:dyDescent="0.25">
      <c r="E134" s="94" t="s">
        <v>144</v>
      </c>
      <c r="F134" s="97"/>
      <c r="G134" s="97"/>
      <c r="H134" s="97"/>
      <c r="I134" s="97"/>
      <c r="J134" s="97"/>
      <c r="K134" s="97">
        <v>0</v>
      </c>
    </row>
    <row r="135" spans="5:11" x14ac:dyDescent="0.25">
      <c r="E135" s="94" t="s">
        <v>145</v>
      </c>
      <c r="F135" s="97"/>
      <c r="G135" s="97"/>
      <c r="H135" s="97"/>
      <c r="I135" s="97"/>
      <c r="J135" s="97"/>
      <c r="K135" s="97">
        <v>0</v>
      </c>
    </row>
    <row r="136" spans="5:11" x14ac:dyDescent="0.25">
      <c r="E136" s="94" t="s">
        <v>146</v>
      </c>
      <c r="F136" s="97"/>
      <c r="G136" s="97"/>
      <c r="H136" s="97"/>
      <c r="I136" s="97"/>
      <c r="J136" s="97"/>
      <c r="K136" s="97">
        <v>0</v>
      </c>
    </row>
    <row r="137" spans="5:11" x14ac:dyDescent="0.25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5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5">
      <c r="E139" s="94" t="s">
        <v>149</v>
      </c>
      <c r="F139" s="97"/>
      <c r="G139" s="97"/>
      <c r="H139" s="97"/>
      <c r="I139" s="97"/>
      <c r="J139" s="97"/>
      <c r="K139" s="97">
        <v>0</v>
      </c>
    </row>
    <row r="140" spans="5:11" x14ac:dyDescent="0.25">
      <c r="E140" s="94" t="s">
        <v>145</v>
      </c>
      <c r="F140" s="97"/>
      <c r="G140" s="97"/>
      <c r="H140" s="97"/>
      <c r="I140" s="97"/>
      <c r="J140" s="97"/>
      <c r="K140" s="97">
        <v>0</v>
      </c>
    </row>
    <row r="141" spans="5:11" x14ac:dyDescent="0.25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5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5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5">
      <c r="E144" s="94" t="s">
        <v>150</v>
      </c>
      <c r="F144" s="97"/>
      <c r="G144" s="97"/>
      <c r="H144" s="97"/>
      <c r="I144" s="97"/>
      <c r="J144" s="97"/>
      <c r="K144" s="97">
        <v>17823965.5</v>
      </c>
    </row>
    <row r="145" spans="5:11" x14ac:dyDescent="0.25">
      <c r="E145" s="94" t="s">
        <v>145</v>
      </c>
      <c r="F145" s="97"/>
      <c r="G145" s="97"/>
      <c r="H145" s="97"/>
      <c r="I145" s="97"/>
      <c r="J145" s="97"/>
      <c r="K145" s="97">
        <v>69196.11</v>
      </c>
    </row>
    <row r="146" spans="5:11" x14ac:dyDescent="0.25">
      <c r="E146" s="94" t="s">
        <v>146</v>
      </c>
      <c r="F146" s="97"/>
      <c r="G146" s="97"/>
      <c r="H146" s="97"/>
      <c r="I146" s="97"/>
      <c r="J146" s="97"/>
      <c r="K146" s="97">
        <v>69196.11</v>
      </c>
    </row>
    <row r="147" spans="5:11" x14ac:dyDescent="0.25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5">
      <c r="E148" s="94" t="s">
        <v>151</v>
      </c>
      <c r="F148" s="97"/>
      <c r="G148" s="97"/>
      <c r="H148" s="97"/>
      <c r="I148" s="97"/>
      <c r="J148" s="97"/>
      <c r="K148" s="97">
        <v>17798.05</v>
      </c>
    </row>
    <row r="149" spans="5:11" x14ac:dyDescent="0.25">
      <c r="E149" s="94" t="s">
        <v>152</v>
      </c>
      <c r="F149" s="97"/>
      <c r="G149" s="97"/>
      <c r="H149" s="97"/>
      <c r="I149" s="97"/>
      <c r="J149" s="97"/>
      <c r="K149" s="97">
        <v>17736971.34</v>
      </c>
    </row>
    <row r="150" spans="5:11" x14ac:dyDescent="0.25">
      <c r="E150" s="94" t="s">
        <v>153</v>
      </c>
      <c r="F150" s="97"/>
      <c r="G150" s="97"/>
      <c r="H150" s="97"/>
      <c r="I150" s="97"/>
      <c r="J150" s="97"/>
      <c r="K150" s="97">
        <v>0</v>
      </c>
    </row>
    <row r="151" spans="5:11" x14ac:dyDescent="0.25">
      <c r="E151" s="94" t="s">
        <v>154</v>
      </c>
      <c r="F151" s="97">
        <v>5501426.75</v>
      </c>
      <c r="G151" s="97">
        <v>7186289.8700000001</v>
      </c>
      <c r="H151" s="97">
        <v>7507369.0199999996</v>
      </c>
      <c r="I151" s="97">
        <v>2938615.27</v>
      </c>
      <c r="J151" s="97">
        <v>2514489.66</v>
      </c>
      <c r="K151" s="97">
        <v>1470789.24</v>
      </c>
    </row>
    <row r="152" spans="5:11" x14ac:dyDescent="0.25">
      <c r="E152" s="94" t="s">
        <v>155</v>
      </c>
      <c r="F152" s="97"/>
      <c r="G152" s="97"/>
      <c r="H152" s="97"/>
      <c r="I152" s="97"/>
      <c r="J152" s="97"/>
      <c r="K152" s="97">
        <v>1470789.24</v>
      </c>
    </row>
    <row r="153" spans="5:11" x14ac:dyDescent="0.25">
      <c r="E153" s="94" t="s">
        <v>125</v>
      </c>
      <c r="F153" s="97"/>
      <c r="G153" s="97"/>
      <c r="H153" s="97"/>
      <c r="I153" s="97"/>
      <c r="J153" s="97"/>
      <c r="K153" s="97">
        <v>0</v>
      </c>
    </row>
    <row r="154" spans="5:11" x14ac:dyDescent="0.25">
      <c r="E154" s="94" t="s">
        <v>156</v>
      </c>
      <c r="F154" s="97"/>
      <c r="G154" s="97"/>
      <c r="H154" s="97"/>
      <c r="I154" s="97"/>
      <c r="J154" s="97"/>
      <c r="K154" s="97">
        <v>0</v>
      </c>
    </row>
    <row r="155" spans="5:11" x14ac:dyDescent="0.25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5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5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5">
      <c r="E158" s="94" t="s">
        <v>160</v>
      </c>
      <c r="F158" s="97"/>
      <c r="G158" s="97"/>
      <c r="H158" s="97"/>
      <c r="I158" s="97"/>
      <c r="J158" s="97"/>
      <c r="K158" s="97">
        <v>0</v>
      </c>
    </row>
    <row r="159" spans="5:11" x14ac:dyDescent="0.25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5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5">
      <c r="E161" s="94" t="s">
        <v>158</v>
      </c>
      <c r="F161" s="97"/>
      <c r="G161" s="97"/>
      <c r="H161" s="97"/>
      <c r="I161" s="97"/>
      <c r="J161" s="97"/>
      <c r="K161" s="97">
        <v>0</v>
      </c>
    </row>
    <row r="162" spans="5:11" x14ac:dyDescent="0.25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5">
      <c r="E163" s="94" t="s">
        <v>161</v>
      </c>
      <c r="F163" s="97"/>
      <c r="G163" s="97"/>
      <c r="H163" s="97"/>
      <c r="I163" s="97"/>
      <c r="J163" s="97"/>
      <c r="K163" s="97">
        <v>1470789.24</v>
      </c>
    </row>
    <row r="164" spans="5:11" x14ac:dyDescent="0.25">
      <c r="E164" s="94" t="s">
        <v>162</v>
      </c>
      <c r="F164" s="97"/>
      <c r="G164" s="97"/>
      <c r="H164" s="97"/>
      <c r="I164" s="97"/>
      <c r="J164" s="97"/>
      <c r="K164" s="97">
        <v>384719.66</v>
      </c>
    </row>
    <row r="165" spans="5:11" x14ac:dyDescent="0.25">
      <c r="E165" s="94" t="s">
        <v>163</v>
      </c>
      <c r="F165" s="97"/>
      <c r="G165" s="97"/>
      <c r="H165" s="97"/>
      <c r="I165" s="97"/>
      <c r="J165" s="97"/>
      <c r="K165" s="97">
        <v>1086069.58</v>
      </c>
    </row>
    <row r="166" spans="5:11" x14ac:dyDescent="0.25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5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5">
      <c r="E168" s="94" t="s">
        <v>166</v>
      </c>
      <c r="F168" s="97">
        <v>67796.479999999996</v>
      </c>
      <c r="G168" s="97">
        <v>35506.769999999997</v>
      </c>
      <c r="H168" s="97">
        <v>42187.77</v>
      </c>
      <c r="I168" s="97">
        <v>76322.45</v>
      </c>
      <c r="J168" s="97">
        <v>113128.56</v>
      </c>
      <c r="K168" s="97">
        <v>422.8</v>
      </c>
    </row>
    <row r="169" spans="5:11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</row>
    <row r="170" spans="5:11" x14ac:dyDescent="0.25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5">
      <c r="E171" s="94" t="s">
        <v>169</v>
      </c>
      <c r="F171" s="97">
        <v>14459159.16</v>
      </c>
      <c r="G171" s="97">
        <v>18620923.32</v>
      </c>
      <c r="H171" s="97">
        <v>36237087.280000001</v>
      </c>
      <c r="I171" s="97">
        <v>40734871.649999999</v>
      </c>
      <c r="J171" s="97">
        <v>23957236.289999999</v>
      </c>
      <c r="K171" s="97">
        <v>19296377.539999999</v>
      </c>
    </row>
    <row r="172" spans="5:11" x14ac:dyDescent="0.25">
      <c r="E172" s="94" t="s">
        <v>170</v>
      </c>
      <c r="F172" s="97">
        <v>3808730.64</v>
      </c>
      <c r="G172" s="97">
        <v>7418413.2699999996</v>
      </c>
      <c r="H172" s="97">
        <v>3501254.34</v>
      </c>
      <c r="I172" s="97">
        <v>2004954.39</v>
      </c>
      <c r="J172" s="97">
        <v>919957.99</v>
      </c>
      <c r="K172" s="97">
        <v>1577593.68</v>
      </c>
    </row>
    <row r="173" spans="5:11" x14ac:dyDescent="0.25">
      <c r="E173" s="94" t="s">
        <v>171</v>
      </c>
      <c r="F173" s="97">
        <v>3181243.55</v>
      </c>
      <c r="G173" s="97">
        <v>3181243.55</v>
      </c>
      <c r="H173" s="97">
        <v>1684943.61</v>
      </c>
      <c r="I173" s="97">
        <v>1257582.8999999999</v>
      </c>
      <c r="J173" s="97">
        <v>1257582.8999999999</v>
      </c>
      <c r="K173" s="97">
        <v>754771.07</v>
      </c>
    </row>
    <row r="174" spans="5:11" x14ac:dyDescent="0.25">
      <c r="E174" s="142" t="s">
        <v>262</v>
      </c>
      <c r="F174" s="97"/>
      <c r="G174" s="97"/>
      <c r="H174" s="97"/>
      <c r="I174" s="97"/>
      <c r="J174" s="97"/>
      <c r="K174" s="97"/>
    </row>
    <row r="175" spans="5:11" x14ac:dyDescent="0.25">
      <c r="E175" s="142" t="s">
        <v>263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264</v>
      </c>
      <c r="F176" s="97"/>
      <c r="G176" s="97"/>
      <c r="H176" s="97"/>
      <c r="I176" s="97"/>
      <c r="J176" s="97"/>
      <c r="K176" s="97">
        <v>320010.78000000003</v>
      </c>
    </row>
    <row r="177" spans="5:11" x14ac:dyDescent="0.25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266</v>
      </c>
      <c r="F178" s="97">
        <v>4089532.56</v>
      </c>
      <c r="G178" s="97">
        <v>320010.78000000003</v>
      </c>
      <c r="H178" s="97">
        <v>320010.78000000003</v>
      </c>
      <c r="I178" s="97">
        <v>320010.78000000003</v>
      </c>
      <c r="J178" s="97">
        <v>320010.78000000003</v>
      </c>
      <c r="K178" s="97"/>
    </row>
    <row r="179" spans="5:11" x14ac:dyDescent="0.25">
      <c r="E179" s="94" t="s">
        <v>267</v>
      </c>
      <c r="F179" s="97">
        <v>240258.08</v>
      </c>
      <c r="G179" s="97">
        <v>147637.16</v>
      </c>
      <c r="H179" s="97">
        <v>0</v>
      </c>
      <c r="I179" s="97">
        <v>-442484.34</v>
      </c>
      <c r="J179" s="97">
        <v>-110076.53</v>
      </c>
      <c r="K179" s="97">
        <v>0</v>
      </c>
    </row>
    <row r="180" spans="5:11" x14ac:dyDescent="0.25">
      <c r="E180" s="94" t="s">
        <v>268</v>
      </c>
      <c r="F180" s="97">
        <v>-3702303.55</v>
      </c>
      <c r="G180" s="97">
        <v>3769521.78</v>
      </c>
      <c r="H180" s="97">
        <v>1496299.95</v>
      </c>
      <c r="I180" s="97">
        <v>869845.05</v>
      </c>
      <c r="J180" s="97">
        <v>-547559.16</v>
      </c>
      <c r="K180" s="97">
        <v>502811.83</v>
      </c>
    </row>
    <row r="181" spans="5:11" x14ac:dyDescent="0.25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5">
      <c r="E182" s="142" t="s">
        <v>171</v>
      </c>
      <c r="F182" s="97"/>
      <c r="G182" s="97"/>
      <c r="H182" s="97"/>
      <c r="I182" s="97"/>
      <c r="J182" s="97"/>
      <c r="K182" s="97"/>
    </row>
    <row r="183" spans="5:11" x14ac:dyDescent="0.25">
      <c r="E183" s="142" t="s">
        <v>172</v>
      </c>
      <c r="F183" s="97"/>
      <c r="G183" s="97"/>
      <c r="H183" s="97"/>
      <c r="I183" s="97"/>
      <c r="J183" s="97"/>
      <c r="K183" s="97"/>
    </row>
    <row r="184" spans="5:11" x14ac:dyDescent="0.25">
      <c r="E184" s="142" t="s">
        <v>173</v>
      </c>
      <c r="F184" s="97"/>
      <c r="G184" s="97"/>
      <c r="H184" s="97"/>
      <c r="I184" s="97"/>
      <c r="J184" s="97"/>
      <c r="K184" s="97"/>
    </row>
    <row r="185" spans="5:11" x14ac:dyDescent="0.25">
      <c r="E185" s="142" t="s">
        <v>174</v>
      </c>
      <c r="F185" s="97"/>
      <c r="G185" s="97"/>
      <c r="H185" s="97"/>
      <c r="I185" s="97"/>
      <c r="J185" s="97"/>
      <c r="K185" s="97"/>
    </row>
    <row r="186" spans="5:11" x14ac:dyDescent="0.25">
      <c r="E186" s="142" t="s">
        <v>175</v>
      </c>
      <c r="F186" s="97"/>
      <c r="G186" s="97"/>
      <c r="H186" s="97"/>
      <c r="I186" s="97"/>
      <c r="J186" s="97"/>
      <c r="K186" s="97"/>
    </row>
    <row r="187" spans="5:11" x14ac:dyDescent="0.25">
      <c r="E187" s="142" t="s">
        <v>176</v>
      </c>
      <c r="F187" s="97"/>
      <c r="G187" s="97"/>
      <c r="H187" s="97"/>
      <c r="I187" s="97"/>
      <c r="J187" s="97"/>
      <c r="K187" s="97"/>
    </row>
    <row r="188" spans="5:11" x14ac:dyDescent="0.25">
      <c r="E188" s="142" t="s">
        <v>177</v>
      </c>
      <c r="F188" s="97"/>
      <c r="G188" s="97"/>
      <c r="H188" s="97"/>
      <c r="I188" s="97"/>
      <c r="J188" s="97"/>
      <c r="K188" s="97"/>
    </row>
    <row r="189" spans="5:11" x14ac:dyDescent="0.25">
      <c r="E189" s="142" t="s">
        <v>178</v>
      </c>
      <c r="F189" s="97"/>
      <c r="G189" s="97"/>
      <c r="H189" s="97"/>
      <c r="I189" s="97"/>
      <c r="J189" s="97"/>
      <c r="K189" s="97"/>
    </row>
    <row r="190" spans="5:11" x14ac:dyDescent="0.25">
      <c r="E190" s="142" t="s">
        <v>179</v>
      </c>
      <c r="F190" s="97"/>
      <c r="G190" s="97"/>
      <c r="H190" s="97"/>
      <c r="I190" s="97"/>
      <c r="J190" s="97"/>
      <c r="K190" s="97"/>
    </row>
    <row r="191" spans="5:11" x14ac:dyDescent="0.25">
      <c r="E191" s="142" t="s">
        <v>180</v>
      </c>
      <c r="F191" s="97"/>
      <c r="G191" s="97"/>
      <c r="H191" s="97"/>
      <c r="I191" s="97"/>
      <c r="J191" s="97"/>
      <c r="K191" s="97"/>
    </row>
    <row r="192" spans="5:11" x14ac:dyDescent="0.25">
      <c r="E192" s="142" t="s">
        <v>181</v>
      </c>
      <c r="F192" s="97"/>
      <c r="G192" s="97"/>
      <c r="H192" s="97"/>
      <c r="I192" s="97"/>
      <c r="J192" s="97"/>
      <c r="K192" s="97"/>
    </row>
    <row r="193" spans="5:11" x14ac:dyDescent="0.25">
      <c r="E193" s="94" t="s">
        <v>182</v>
      </c>
      <c r="F193" s="97">
        <v>10650428.52</v>
      </c>
      <c r="G193" s="97">
        <v>11202510.050000001</v>
      </c>
      <c r="H193" s="97">
        <v>32735832.940000001</v>
      </c>
      <c r="I193" s="97">
        <v>38729917.259999998</v>
      </c>
      <c r="J193" s="97">
        <v>23037278.300000001</v>
      </c>
      <c r="K193" s="97">
        <v>17718783.859999999</v>
      </c>
    </row>
    <row r="194" spans="5:11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</row>
    <row r="195" spans="5:11" x14ac:dyDescent="0.25">
      <c r="E195" s="94" t="s">
        <v>184</v>
      </c>
      <c r="F195" s="97"/>
      <c r="G195" s="97"/>
      <c r="H195" s="97"/>
      <c r="I195" s="97"/>
      <c r="J195" s="97"/>
      <c r="K195" s="97"/>
    </row>
    <row r="196" spans="5:11" x14ac:dyDescent="0.25">
      <c r="E196" s="94" t="s">
        <v>185</v>
      </c>
      <c r="F196" s="97"/>
      <c r="G196" s="97"/>
      <c r="H196" s="97"/>
      <c r="I196" s="97"/>
      <c r="J196" s="97"/>
      <c r="K196" s="97">
        <v>0</v>
      </c>
    </row>
    <row r="197" spans="5:11" x14ac:dyDescent="0.25">
      <c r="E197" s="94" t="s">
        <v>186</v>
      </c>
      <c r="F197" s="97"/>
      <c r="G197" s="97"/>
      <c r="H197" s="97"/>
      <c r="I197" s="97"/>
      <c r="J197" s="97"/>
      <c r="K197" s="97"/>
    </row>
    <row r="198" spans="5:11" x14ac:dyDescent="0.25">
      <c r="E198" s="94" t="s">
        <v>187</v>
      </c>
      <c r="F198" s="97"/>
      <c r="G198" s="97"/>
      <c r="H198" s="97"/>
      <c r="I198" s="97"/>
      <c r="J198" s="97"/>
      <c r="K198" s="97"/>
    </row>
    <row r="199" spans="5:11" x14ac:dyDescent="0.25">
      <c r="E199" s="94" t="s">
        <v>188</v>
      </c>
      <c r="F199" s="97"/>
      <c r="G199" s="97"/>
      <c r="H199" s="97"/>
      <c r="I199" s="97"/>
      <c r="J199" s="97"/>
      <c r="K199" s="97">
        <v>0</v>
      </c>
    </row>
    <row r="200" spans="5:11" x14ac:dyDescent="0.25">
      <c r="E200" s="94" t="s">
        <v>186</v>
      </c>
      <c r="F200" s="97"/>
      <c r="G200" s="97"/>
      <c r="H200" s="97"/>
      <c r="I200" s="97"/>
      <c r="J200" s="97"/>
      <c r="K200" s="97"/>
    </row>
    <row r="201" spans="5:11" x14ac:dyDescent="0.25">
      <c r="E201" s="94" t="s">
        <v>187</v>
      </c>
      <c r="F201" s="97"/>
      <c r="G201" s="97"/>
      <c r="H201" s="97"/>
      <c r="I201" s="97"/>
      <c r="J201" s="97"/>
      <c r="K201" s="97"/>
    </row>
    <row r="202" spans="5:11" x14ac:dyDescent="0.25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0</v>
      </c>
      <c r="K202" s="97">
        <v>0</v>
      </c>
    </row>
    <row r="203" spans="5:11" x14ac:dyDescent="0.25">
      <c r="E203" s="94" t="s">
        <v>190</v>
      </c>
      <c r="F203" s="97"/>
      <c r="G203" s="97"/>
      <c r="H203" s="97"/>
      <c r="I203" s="97"/>
      <c r="J203" s="97"/>
      <c r="K203" s="97"/>
    </row>
    <row r="204" spans="5:11" x14ac:dyDescent="0.25">
      <c r="E204" s="94" t="s">
        <v>191</v>
      </c>
      <c r="F204" s="97"/>
      <c r="G204" s="97"/>
      <c r="H204" s="97"/>
      <c r="I204" s="97"/>
      <c r="J204" s="97"/>
      <c r="K204" s="97"/>
    </row>
    <row r="205" spans="5:11" x14ac:dyDescent="0.25">
      <c r="E205" s="94" t="s">
        <v>192</v>
      </c>
      <c r="F205" s="97"/>
      <c r="G205" s="97"/>
      <c r="H205" s="97"/>
      <c r="I205" s="97"/>
      <c r="J205" s="97"/>
      <c r="K205" s="97">
        <v>0</v>
      </c>
    </row>
    <row r="206" spans="5:11" x14ac:dyDescent="0.25">
      <c r="E206" s="94" t="s">
        <v>193</v>
      </c>
      <c r="F206" s="97"/>
      <c r="G206" s="97"/>
      <c r="H206" s="97"/>
      <c r="I206" s="97"/>
      <c r="J206" s="97"/>
      <c r="K206" s="97">
        <v>0</v>
      </c>
    </row>
    <row r="207" spans="5:11" x14ac:dyDescent="0.25">
      <c r="E207" s="94" t="s">
        <v>194</v>
      </c>
      <c r="F207" s="97"/>
      <c r="G207" s="97"/>
      <c r="H207" s="97"/>
      <c r="I207" s="97"/>
      <c r="J207" s="97"/>
      <c r="K207" s="97"/>
    </row>
    <row r="208" spans="5:11" x14ac:dyDescent="0.25">
      <c r="E208" s="94" t="s">
        <v>195</v>
      </c>
      <c r="F208" s="97"/>
      <c r="G208" s="97"/>
      <c r="H208" s="97"/>
      <c r="I208" s="97"/>
      <c r="J208" s="97"/>
      <c r="K208" s="97"/>
    </row>
    <row r="209" spans="5:11" x14ac:dyDescent="0.25">
      <c r="E209" s="94" t="s">
        <v>196</v>
      </c>
      <c r="F209" s="97"/>
      <c r="G209" s="97"/>
      <c r="H209" s="97"/>
      <c r="I209" s="97"/>
      <c r="J209" s="97"/>
      <c r="K209" s="97"/>
    </row>
    <row r="210" spans="5:11" x14ac:dyDescent="0.25">
      <c r="E210" s="94" t="s">
        <v>197</v>
      </c>
      <c r="F210" s="97"/>
      <c r="G210" s="97"/>
      <c r="H210" s="97"/>
      <c r="I210" s="97"/>
      <c r="J210" s="97"/>
      <c r="K210" s="97"/>
    </row>
    <row r="211" spans="5:11" x14ac:dyDescent="0.25">
      <c r="E211" s="94" t="s">
        <v>198</v>
      </c>
      <c r="F211" s="97">
        <v>3256005.16</v>
      </c>
      <c r="G211" s="97">
        <v>5396102.3099999996</v>
      </c>
      <c r="H211" s="97">
        <v>12248044.25</v>
      </c>
      <c r="I211" s="97">
        <v>621048.06000000006</v>
      </c>
      <c r="J211" s="97">
        <v>114703.35</v>
      </c>
      <c r="K211" s="97">
        <v>21202.94</v>
      </c>
    </row>
    <row r="212" spans="5:11" x14ac:dyDescent="0.25">
      <c r="E212" s="94" t="s">
        <v>190</v>
      </c>
      <c r="F212" s="97"/>
      <c r="G212" s="97"/>
      <c r="H212" s="97"/>
      <c r="I212" s="97"/>
      <c r="J212" s="97"/>
      <c r="K212" s="97">
        <v>0</v>
      </c>
    </row>
    <row r="213" spans="5:11" x14ac:dyDescent="0.25">
      <c r="E213" s="94" t="s">
        <v>200</v>
      </c>
      <c r="F213" s="97"/>
      <c r="G213" s="97"/>
      <c r="H213" s="97"/>
      <c r="I213" s="97"/>
      <c r="J213" s="97"/>
      <c r="K213" s="97">
        <v>0</v>
      </c>
    </row>
    <row r="214" spans="5:11" x14ac:dyDescent="0.25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5">
      <c r="E217" s="142" t="s">
        <v>199</v>
      </c>
      <c r="F217" s="97"/>
      <c r="G217" s="97"/>
      <c r="H217" s="97"/>
      <c r="I217" s="97"/>
      <c r="J217" s="97"/>
      <c r="K217" s="97"/>
    </row>
    <row r="218" spans="5:11" x14ac:dyDescent="0.25">
      <c r="E218" s="142" t="s">
        <v>200</v>
      </c>
      <c r="F218" s="97"/>
      <c r="G218" s="97"/>
      <c r="H218" s="97"/>
      <c r="I218" s="97"/>
      <c r="J218" s="97"/>
      <c r="K218" s="97"/>
    </row>
    <row r="219" spans="5:11" x14ac:dyDescent="0.25">
      <c r="E219" s="142" t="s">
        <v>146</v>
      </c>
      <c r="F219" s="97"/>
      <c r="G219" s="97"/>
      <c r="H219" s="97"/>
      <c r="I219" s="97"/>
      <c r="J219" s="97"/>
      <c r="K219" s="97"/>
    </row>
    <row r="220" spans="5:11" x14ac:dyDescent="0.25">
      <c r="E220" s="142" t="s">
        <v>147</v>
      </c>
      <c r="F220" s="97"/>
      <c r="G220" s="97"/>
      <c r="H220" s="97"/>
      <c r="I220" s="97"/>
      <c r="J220" s="97"/>
      <c r="K220" s="97"/>
    </row>
    <row r="221" spans="5:11" x14ac:dyDescent="0.25">
      <c r="E221" s="142" t="s">
        <v>148</v>
      </c>
      <c r="F221" s="97"/>
      <c r="G221" s="97"/>
      <c r="H221" s="97"/>
      <c r="I221" s="97"/>
      <c r="J221" s="97"/>
      <c r="K221" s="97"/>
    </row>
    <row r="222" spans="5:11" x14ac:dyDescent="0.25">
      <c r="E222" s="94" t="s">
        <v>192</v>
      </c>
      <c r="F222" s="97"/>
      <c r="G222" s="97"/>
      <c r="H222" s="97"/>
      <c r="I222" s="97"/>
      <c r="J222" s="97"/>
      <c r="K222" s="97">
        <v>21202.94</v>
      </c>
    </row>
    <row r="223" spans="5:11" x14ac:dyDescent="0.25">
      <c r="E223" s="94" t="s">
        <v>193</v>
      </c>
      <c r="F223" s="97"/>
      <c r="G223" s="97"/>
      <c r="H223" s="97"/>
      <c r="I223" s="97"/>
      <c r="J223" s="97"/>
      <c r="K223" s="97"/>
    </row>
    <row r="224" spans="5:11" x14ac:dyDescent="0.25">
      <c r="E224" s="94" t="s">
        <v>194</v>
      </c>
      <c r="F224" s="97"/>
      <c r="G224" s="97"/>
      <c r="H224" s="97"/>
      <c r="I224" s="97"/>
      <c r="J224" s="97"/>
      <c r="K224" s="97"/>
    </row>
    <row r="225" spans="5:11" x14ac:dyDescent="0.25">
      <c r="E225" s="94" t="s">
        <v>195</v>
      </c>
      <c r="F225" s="97"/>
      <c r="G225" s="97"/>
      <c r="H225" s="97"/>
      <c r="I225" s="97"/>
      <c r="J225" s="97"/>
      <c r="K225" s="97"/>
    </row>
    <row r="226" spans="5:11" x14ac:dyDescent="0.25">
      <c r="E226" s="94" t="s">
        <v>201</v>
      </c>
      <c r="F226" s="97"/>
      <c r="G226" s="97"/>
      <c r="H226" s="97"/>
      <c r="I226" s="97"/>
      <c r="J226" s="97"/>
      <c r="K226" s="97">
        <v>11030.45</v>
      </c>
    </row>
    <row r="227" spans="5:11" x14ac:dyDescent="0.25">
      <c r="E227" s="94" t="s">
        <v>146</v>
      </c>
      <c r="F227" s="97"/>
      <c r="G227" s="97"/>
      <c r="H227" s="97"/>
      <c r="I227" s="97"/>
      <c r="J227" s="97"/>
      <c r="K227" s="97">
        <v>11030.45</v>
      </c>
    </row>
    <row r="228" spans="5:11" x14ac:dyDescent="0.25">
      <c r="E228" s="94" t="s">
        <v>147</v>
      </c>
      <c r="F228" s="97"/>
      <c r="G228" s="97"/>
      <c r="H228" s="97"/>
      <c r="I228" s="97"/>
      <c r="J228" s="97"/>
      <c r="K228" s="97"/>
    </row>
    <row r="229" spans="5:11" x14ac:dyDescent="0.25">
      <c r="E229" s="94" t="s">
        <v>202</v>
      </c>
      <c r="F229" s="97"/>
      <c r="G229" s="97"/>
      <c r="H229" s="97"/>
      <c r="I229" s="97"/>
      <c r="J229" s="97"/>
      <c r="K229" s="97"/>
    </row>
    <row r="230" spans="5:11" x14ac:dyDescent="0.25">
      <c r="E230" s="94" t="s">
        <v>203</v>
      </c>
      <c r="F230" s="97"/>
      <c r="G230" s="97"/>
      <c r="H230" s="97"/>
      <c r="I230" s="97"/>
      <c r="J230" s="97"/>
      <c r="K230" s="97"/>
    </row>
    <row r="231" spans="5:11" x14ac:dyDescent="0.25">
      <c r="E231" s="94" t="s">
        <v>204</v>
      </c>
      <c r="F231" s="97"/>
      <c r="G231" s="97"/>
      <c r="H231" s="97"/>
      <c r="I231" s="97"/>
      <c r="J231" s="97"/>
      <c r="K231" s="97">
        <v>3539.9</v>
      </c>
    </row>
    <row r="232" spans="5:11" x14ac:dyDescent="0.25">
      <c r="E232" s="94" t="s">
        <v>205</v>
      </c>
      <c r="F232" s="97"/>
      <c r="G232" s="97"/>
      <c r="H232" s="97"/>
      <c r="I232" s="97"/>
      <c r="J232" s="97"/>
      <c r="K232" s="97">
        <v>3644.2</v>
      </c>
    </row>
    <row r="233" spans="5:11" x14ac:dyDescent="0.25">
      <c r="E233" s="94" t="s">
        <v>206</v>
      </c>
      <c r="F233" s="97"/>
      <c r="G233" s="97"/>
      <c r="H233" s="97"/>
      <c r="I233" s="97"/>
      <c r="J233" s="97"/>
      <c r="K233" s="97">
        <v>2988.39</v>
      </c>
    </row>
    <row r="234" spans="5:11" x14ac:dyDescent="0.25">
      <c r="E234" s="94" t="s">
        <v>207</v>
      </c>
      <c r="F234" s="97"/>
      <c r="G234" s="97"/>
      <c r="H234" s="97"/>
      <c r="I234" s="97"/>
      <c r="J234" s="97"/>
      <c r="K234" s="97">
        <v>0</v>
      </c>
    </row>
    <row r="235" spans="5:11" x14ac:dyDescent="0.25">
      <c r="E235" s="94" t="s">
        <v>208</v>
      </c>
      <c r="F235" s="97">
        <v>7394423.3600000003</v>
      </c>
      <c r="G235" s="97">
        <v>5806407.7400000002</v>
      </c>
      <c r="H235" s="97">
        <v>20487788.690000001</v>
      </c>
      <c r="I235" s="97">
        <v>38108869.200000003</v>
      </c>
      <c r="J235" s="97">
        <v>22922574.949999999</v>
      </c>
      <c r="K235" s="97">
        <v>17697580.920000002</v>
      </c>
    </row>
    <row r="236" spans="5:11" x14ac:dyDescent="0.25">
      <c r="E236" s="94" t="s">
        <v>209</v>
      </c>
      <c r="F236" s="97"/>
      <c r="G236" s="97"/>
      <c r="H236" s="97"/>
      <c r="I236" s="97"/>
      <c r="J236" s="97"/>
      <c r="K236" s="97"/>
    </row>
    <row r="237" spans="5:11" x14ac:dyDescent="0.25">
      <c r="E237" s="94" t="s">
        <v>135</v>
      </c>
      <c r="F237" s="97"/>
      <c r="G237" s="97"/>
      <c r="H237" s="97"/>
      <c r="I237" s="97"/>
      <c r="J237" s="97"/>
      <c r="K237" s="97">
        <v>17697580.920000002</v>
      </c>
    </row>
    <row r="238" spans="5:11" x14ac:dyDescent="0.25">
      <c r="E238" s="94" t="s">
        <v>210</v>
      </c>
      <c r="F238" s="97"/>
      <c r="G238" s="97"/>
      <c r="H238" s="97"/>
      <c r="I238" s="97"/>
      <c r="J238" s="97"/>
      <c r="K238" s="97">
        <v>0</v>
      </c>
    </row>
    <row r="239" spans="5:11" x14ac:dyDescent="0.25">
      <c r="E239" s="94" t="s">
        <v>211</v>
      </c>
      <c r="F239" s="97"/>
      <c r="G239" s="97"/>
      <c r="H239" s="97"/>
      <c r="I239" s="97"/>
      <c r="J239" s="97"/>
      <c r="K239" s="97">
        <v>17697580.920000002</v>
      </c>
    </row>
    <row r="240" spans="5:11" x14ac:dyDescent="0.25">
      <c r="E240" s="94" t="s">
        <v>212</v>
      </c>
      <c r="F240" s="97">
        <v>14459159.16</v>
      </c>
      <c r="G240" s="97">
        <v>18620923.32</v>
      </c>
      <c r="H240" s="97">
        <v>36237087.280000001</v>
      </c>
      <c r="I240" s="97">
        <v>40734871.649999999</v>
      </c>
      <c r="J240" s="97">
        <v>23957236.289999999</v>
      </c>
      <c r="K240" s="97">
        <v>19296377.539999999</v>
      </c>
    </row>
    <row r="241" spans="5:11" x14ac:dyDescent="0.25">
      <c r="E241" s="106" t="s">
        <v>274</v>
      </c>
      <c r="F241" s="97">
        <v>275482.88</v>
      </c>
      <c r="G241" s="97">
        <v>385917.47</v>
      </c>
      <c r="H241" s="97">
        <v>371296.66</v>
      </c>
      <c r="I241" s="97">
        <v>382697.11</v>
      </c>
      <c r="J241" s="97">
        <v>326226.82</v>
      </c>
      <c r="K241" s="97"/>
    </row>
    <row r="242" spans="5:11" x14ac:dyDescent="0.25">
      <c r="E242" s="94" t="s">
        <v>275</v>
      </c>
      <c r="F242" s="97">
        <v>13071589.810000001</v>
      </c>
      <c r="G242" s="97">
        <v>16376428.4</v>
      </c>
      <c r="H242" s="97">
        <v>16666928.199999999</v>
      </c>
      <c r="I242" s="97">
        <v>10596069.65</v>
      </c>
      <c r="J242" s="97">
        <v>4686962.47</v>
      </c>
      <c r="K242" s="97"/>
    </row>
    <row r="243" spans="5:11" x14ac:dyDescent="0.25">
      <c r="E243" s="94" t="s">
        <v>276</v>
      </c>
      <c r="F243" s="97">
        <v>-12796106.93</v>
      </c>
      <c r="G243" s="97">
        <v>-15990510.93</v>
      </c>
      <c r="H243" s="97">
        <v>-16295631.539999999</v>
      </c>
      <c r="I243" s="97">
        <v>-10213372.539999999</v>
      </c>
      <c r="J243" s="97">
        <v>-4360735.6500000004</v>
      </c>
      <c r="K243" s="97"/>
    </row>
    <row r="244" spans="5:11" x14ac:dyDescent="0.25">
      <c r="E244" s="94" t="s">
        <v>0</v>
      </c>
      <c r="F244" s="97">
        <v>0</v>
      </c>
      <c r="G244" s="97"/>
      <c r="H244" s="97"/>
      <c r="I244" s="97"/>
      <c r="J244" s="97"/>
      <c r="K244" s="97"/>
    </row>
    <row r="245" spans="5:11" x14ac:dyDescent="0.25">
      <c r="E245" s="104" t="s">
        <v>277</v>
      </c>
      <c r="F245" s="97">
        <v>-12796106.93</v>
      </c>
      <c r="G245" s="97">
        <v>-15990510.93</v>
      </c>
      <c r="H245" s="97">
        <v>-16295631.539999999</v>
      </c>
      <c r="I245" s="97">
        <v>-10213372.539999999</v>
      </c>
      <c r="J245" s="97">
        <v>-4360735.6500000004</v>
      </c>
      <c r="K245" s="97"/>
    </row>
    <row r="246" spans="5:11" x14ac:dyDescent="0.25">
      <c r="E246" s="94" t="s">
        <v>278</v>
      </c>
      <c r="F246" s="97">
        <v>10165498.380000001</v>
      </c>
      <c r="G246" s="97">
        <v>19754534.57</v>
      </c>
      <c r="H246" s="97">
        <v>17959000.329999998</v>
      </c>
      <c r="I246" s="97">
        <v>11151297.92</v>
      </c>
      <c r="J246" s="97">
        <v>4520934.29</v>
      </c>
      <c r="K246" s="97"/>
    </row>
    <row r="247" spans="5:11" x14ac:dyDescent="0.25">
      <c r="E247" s="94" t="s">
        <v>279</v>
      </c>
      <c r="F247" s="97">
        <v>1106309.8700000001</v>
      </c>
      <c r="G247" s="97">
        <v>16281.22</v>
      </c>
      <c r="H247" s="97">
        <v>172866.88</v>
      </c>
      <c r="I247" s="97">
        <v>71010.210000000006</v>
      </c>
      <c r="J247" s="97">
        <v>710439.9</v>
      </c>
      <c r="K247" s="97"/>
    </row>
    <row r="248" spans="5:11" x14ac:dyDescent="0.25">
      <c r="E248" s="94" t="s">
        <v>1</v>
      </c>
      <c r="F248" s="97">
        <v>46173.09</v>
      </c>
      <c r="G248" s="97">
        <v>22069.26</v>
      </c>
      <c r="H248" s="97">
        <v>6909.25</v>
      </c>
      <c r="I248" s="97">
        <v>6584.57</v>
      </c>
      <c r="J248" s="97">
        <v>3847.83</v>
      </c>
      <c r="K248" s="97"/>
    </row>
    <row r="249" spans="5:11" x14ac:dyDescent="0.25">
      <c r="E249" s="94" t="s">
        <v>2</v>
      </c>
      <c r="F249" s="97">
        <v>11558.22</v>
      </c>
      <c r="G249" s="97">
        <v>289.89999999999998</v>
      </c>
      <c r="H249" s="97">
        <v>1111.21</v>
      </c>
      <c r="I249" s="97">
        <v>3654.69</v>
      </c>
      <c r="J249" s="97">
        <v>1165.73</v>
      </c>
      <c r="K249" s="97"/>
    </row>
    <row r="250" spans="5:11" x14ac:dyDescent="0.25">
      <c r="E250" s="104" t="s">
        <v>280</v>
      </c>
      <c r="F250" s="97">
        <v>-3702303.55</v>
      </c>
      <c r="G250" s="97">
        <v>3769521.78</v>
      </c>
      <c r="H250" s="97">
        <v>1496299.95</v>
      </c>
      <c r="I250" s="97">
        <v>869845.05</v>
      </c>
      <c r="J250" s="97">
        <v>-547559.16</v>
      </c>
      <c r="K250" s="97"/>
    </row>
    <row r="251" spans="5:11" x14ac:dyDescent="0.25">
      <c r="E251" s="94" t="s">
        <v>281</v>
      </c>
      <c r="F251" s="97">
        <v>0</v>
      </c>
      <c r="G251" s="97">
        <v>0</v>
      </c>
      <c r="H251" s="97">
        <v>0</v>
      </c>
      <c r="I251" s="97">
        <v>0</v>
      </c>
      <c r="J251" s="97">
        <v>0</v>
      </c>
      <c r="K251" s="97"/>
    </row>
    <row r="252" spans="5:11" x14ac:dyDescent="0.25">
      <c r="E252" s="104" t="s">
        <v>282</v>
      </c>
      <c r="F252" s="97">
        <v>-3702303.55</v>
      </c>
      <c r="G252" s="97">
        <v>3769521.78</v>
      </c>
      <c r="H252" s="97">
        <v>1496299.95</v>
      </c>
      <c r="I252" s="97">
        <v>869845.05</v>
      </c>
      <c r="J252" s="97">
        <v>-547559.16</v>
      </c>
      <c r="K252" s="97"/>
    </row>
    <row r="253" spans="5:11" x14ac:dyDescent="0.25">
      <c r="E253" s="94"/>
      <c r="F253" s="97"/>
      <c r="G253" s="97"/>
      <c r="H253" s="97"/>
      <c r="I253" s="97"/>
      <c r="J253" s="97"/>
      <c r="K253" s="97"/>
    </row>
    <row r="254" spans="5:11" x14ac:dyDescent="0.25">
      <c r="E254" s="106" t="s">
        <v>213</v>
      </c>
      <c r="F254" s="97"/>
      <c r="G254" s="97"/>
      <c r="H254" s="97"/>
      <c r="I254" s="97"/>
      <c r="J254" s="97"/>
      <c r="K254" s="145">
        <v>97666.12</v>
      </c>
    </row>
    <row r="255" spans="5:11" x14ac:dyDescent="0.25">
      <c r="E255" s="94" t="s">
        <v>214</v>
      </c>
      <c r="F255" s="97"/>
      <c r="G255" s="97"/>
      <c r="H255" s="97"/>
      <c r="I255" s="97"/>
      <c r="J255" s="97"/>
      <c r="K255" s="145">
        <v>0</v>
      </c>
    </row>
    <row r="256" spans="5:11" x14ac:dyDescent="0.25">
      <c r="E256" s="94" t="s">
        <v>215</v>
      </c>
      <c r="F256" s="97"/>
      <c r="G256" s="97"/>
      <c r="H256" s="97"/>
      <c r="I256" s="97"/>
      <c r="J256" s="97"/>
      <c r="K256" s="145">
        <v>97666.12</v>
      </c>
    </row>
    <row r="257" spans="5:11" x14ac:dyDescent="0.25">
      <c r="E257" s="94" t="s">
        <v>216</v>
      </c>
      <c r="F257" s="97"/>
      <c r="G257" s="97"/>
      <c r="H257" s="97"/>
      <c r="I257" s="97"/>
      <c r="J257" s="97"/>
      <c r="K257" s="145"/>
    </row>
    <row r="258" spans="5:11" x14ac:dyDescent="0.25">
      <c r="E258" s="94" t="s">
        <v>217</v>
      </c>
      <c r="F258" s="97"/>
      <c r="G258" s="97"/>
      <c r="H258" s="97"/>
      <c r="I258" s="97"/>
      <c r="J258" s="97"/>
      <c r="K258" s="145"/>
    </row>
    <row r="259" spans="5:11" x14ac:dyDescent="0.25">
      <c r="E259" s="94" t="s">
        <v>218</v>
      </c>
      <c r="F259" s="97"/>
      <c r="G259" s="97"/>
      <c r="H259" s="97"/>
      <c r="I259" s="97"/>
      <c r="J259" s="97"/>
      <c r="K259" s="145">
        <v>0</v>
      </c>
    </row>
    <row r="260" spans="5:11" x14ac:dyDescent="0.25">
      <c r="E260" s="94" t="s">
        <v>219</v>
      </c>
      <c r="F260" s="97"/>
      <c r="G260" s="97"/>
      <c r="H260" s="97"/>
      <c r="I260" s="97"/>
      <c r="J260" s="97"/>
      <c r="K260" s="145">
        <v>5406403.1299999999</v>
      </c>
    </row>
    <row r="261" spans="5:11" x14ac:dyDescent="0.25">
      <c r="E261" s="94" t="s">
        <v>220</v>
      </c>
      <c r="F261" s="97"/>
      <c r="G261" s="97"/>
      <c r="H261" s="97"/>
      <c r="I261" s="97"/>
      <c r="J261" s="97"/>
      <c r="K261" s="145">
        <v>17619.02</v>
      </c>
    </row>
    <row r="262" spans="5:11" x14ac:dyDescent="0.25">
      <c r="E262" s="94" t="s">
        <v>221</v>
      </c>
      <c r="F262" s="97"/>
      <c r="G262" s="97"/>
      <c r="H262" s="97"/>
      <c r="I262" s="97"/>
      <c r="J262" s="97"/>
      <c r="K262" s="145">
        <v>43629.67</v>
      </c>
    </row>
    <row r="263" spans="5:11" x14ac:dyDescent="0.25">
      <c r="E263" s="94" t="s">
        <v>222</v>
      </c>
      <c r="F263" s="97"/>
      <c r="G263" s="97"/>
      <c r="H263" s="97"/>
      <c r="I263" s="97"/>
      <c r="J263" s="97"/>
      <c r="K263" s="145">
        <v>3592016.6</v>
      </c>
    </row>
    <row r="264" spans="5:11" x14ac:dyDescent="0.25">
      <c r="E264" s="94" t="s">
        <v>223</v>
      </c>
      <c r="F264" s="97"/>
      <c r="G264" s="97"/>
      <c r="H264" s="97"/>
      <c r="I264" s="97"/>
      <c r="J264" s="97"/>
      <c r="K264" s="145">
        <v>51.2</v>
      </c>
    </row>
    <row r="265" spans="5:11" x14ac:dyDescent="0.25">
      <c r="E265" s="94" t="s">
        <v>224</v>
      </c>
      <c r="F265" s="97"/>
      <c r="G265" s="97"/>
      <c r="H265" s="97"/>
      <c r="I265" s="97"/>
      <c r="J265" s="97"/>
      <c r="K265" s="145"/>
    </row>
    <row r="266" spans="5:11" x14ac:dyDescent="0.25">
      <c r="E266" s="94" t="s">
        <v>225</v>
      </c>
      <c r="F266" s="97"/>
      <c r="G266" s="97"/>
      <c r="H266" s="97"/>
      <c r="I266" s="97"/>
      <c r="J266" s="97"/>
      <c r="K266" s="145">
        <v>1525627.56</v>
      </c>
    </row>
    <row r="267" spans="5:11" x14ac:dyDescent="0.25">
      <c r="E267" s="94" t="s">
        <v>226</v>
      </c>
      <c r="F267" s="97"/>
      <c r="G267" s="97"/>
      <c r="H267" s="97"/>
      <c r="I267" s="97"/>
      <c r="J267" s="97"/>
      <c r="K267" s="145">
        <v>130402.17</v>
      </c>
    </row>
    <row r="268" spans="5:11" x14ac:dyDescent="0.25">
      <c r="E268" s="94" t="s">
        <v>227</v>
      </c>
      <c r="F268" s="97"/>
      <c r="G268" s="97"/>
      <c r="H268" s="97"/>
      <c r="I268" s="97"/>
      <c r="J268" s="97"/>
      <c r="K268" s="145"/>
    </row>
    <row r="269" spans="5:11" x14ac:dyDescent="0.25">
      <c r="E269" s="94" t="s">
        <v>228</v>
      </c>
      <c r="F269" s="97"/>
      <c r="G269" s="97"/>
      <c r="H269" s="97"/>
      <c r="I269" s="97"/>
      <c r="J269" s="97"/>
      <c r="K269" s="145">
        <v>97056.91</v>
      </c>
    </row>
    <row r="270" spans="5:11" x14ac:dyDescent="0.25">
      <c r="E270" s="94" t="s">
        <v>229</v>
      </c>
      <c r="F270" s="97"/>
      <c r="G270" s="97"/>
      <c r="H270" s="97"/>
      <c r="I270" s="97"/>
      <c r="J270" s="97"/>
      <c r="K270" s="145"/>
    </row>
    <row r="271" spans="5:11" x14ac:dyDescent="0.25">
      <c r="E271" s="94" t="s">
        <v>230</v>
      </c>
      <c r="F271" s="97"/>
      <c r="G271" s="97"/>
      <c r="H271" s="97"/>
      <c r="I271" s="97"/>
      <c r="J271" s="97"/>
      <c r="K271" s="145">
        <v>-5308737.01</v>
      </c>
    </row>
    <row r="272" spans="5:11" x14ac:dyDescent="0.25">
      <c r="E272" s="94" t="s">
        <v>231</v>
      </c>
      <c r="F272" s="97"/>
      <c r="G272" s="97"/>
      <c r="H272" s="97"/>
      <c r="I272" s="97"/>
      <c r="J272" s="97"/>
      <c r="K272" s="145">
        <v>5809291.9199999999</v>
      </c>
    </row>
    <row r="273" spans="5:11" x14ac:dyDescent="0.25">
      <c r="E273" s="94" t="s">
        <v>232</v>
      </c>
      <c r="F273" s="97"/>
      <c r="G273" s="97"/>
      <c r="H273" s="97"/>
      <c r="I273" s="97"/>
      <c r="J273" s="97"/>
      <c r="K273" s="145"/>
    </row>
    <row r="274" spans="5:11" x14ac:dyDescent="0.25">
      <c r="E274" s="94" t="s">
        <v>233</v>
      </c>
      <c r="F274" s="97"/>
      <c r="G274" s="97"/>
      <c r="H274" s="97"/>
      <c r="I274" s="97"/>
      <c r="J274" s="97"/>
      <c r="K274" s="145">
        <v>5807178.5899999999</v>
      </c>
    </row>
    <row r="275" spans="5:11" x14ac:dyDescent="0.25">
      <c r="E275" s="94" t="s">
        <v>234</v>
      </c>
      <c r="F275" s="97"/>
      <c r="G275" s="97"/>
      <c r="H275" s="97"/>
      <c r="I275" s="97"/>
      <c r="J275" s="97"/>
      <c r="K275" s="145"/>
    </row>
    <row r="276" spans="5:11" x14ac:dyDescent="0.25">
      <c r="E276" s="94" t="s">
        <v>235</v>
      </c>
      <c r="F276" s="97"/>
      <c r="G276" s="97"/>
      <c r="H276" s="97"/>
      <c r="I276" s="97"/>
      <c r="J276" s="97"/>
      <c r="K276" s="145">
        <v>2113.33</v>
      </c>
    </row>
    <row r="277" spans="5:11" x14ac:dyDescent="0.25">
      <c r="E277" s="94" t="s">
        <v>236</v>
      </c>
      <c r="F277" s="97"/>
      <c r="G277" s="97"/>
      <c r="H277" s="97"/>
      <c r="I277" s="97"/>
      <c r="J277" s="97"/>
      <c r="K277" s="145">
        <v>4687.12</v>
      </c>
    </row>
    <row r="278" spans="5:11" x14ac:dyDescent="0.25">
      <c r="E278" s="94" t="s">
        <v>237</v>
      </c>
      <c r="F278" s="97"/>
      <c r="G278" s="97"/>
      <c r="H278" s="97"/>
      <c r="I278" s="97"/>
      <c r="J278" s="97"/>
      <c r="K278" s="145"/>
    </row>
    <row r="279" spans="5:11" x14ac:dyDescent="0.25">
      <c r="E279" s="94" t="s">
        <v>238</v>
      </c>
      <c r="F279" s="97"/>
      <c r="G279" s="97"/>
      <c r="H279" s="97"/>
      <c r="I279" s="97"/>
      <c r="J279" s="97"/>
      <c r="K279" s="145"/>
    </row>
    <row r="280" spans="5:11" x14ac:dyDescent="0.25">
      <c r="E280" s="94" t="s">
        <v>239</v>
      </c>
      <c r="F280" s="97"/>
      <c r="G280" s="97"/>
      <c r="H280" s="97"/>
      <c r="I280" s="97"/>
      <c r="J280" s="97"/>
      <c r="K280" s="145">
        <v>4687.12</v>
      </c>
    </row>
    <row r="281" spans="5:11" x14ac:dyDescent="0.25">
      <c r="E281" s="94" t="s">
        <v>240</v>
      </c>
      <c r="F281" s="97"/>
      <c r="G281" s="97"/>
      <c r="H281" s="97"/>
      <c r="I281" s="97"/>
      <c r="J281" s="97"/>
      <c r="K281" s="145">
        <v>495867.79</v>
      </c>
    </row>
    <row r="282" spans="5:11" x14ac:dyDescent="0.25">
      <c r="E282" s="94" t="s">
        <v>241</v>
      </c>
      <c r="F282" s="97"/>
      <c r="G282" s="97"/>
      <c r="H282" s="97"/>
      <c r="I282" s="97"/>
      <c r="J282" s="97"/>
      <c r="K282" s="145">
        <v>6953.04</v>
      </c>
    </row>
    <row r="283" spans="5:11" x14ac:dyDescent="0.25">
      <c r="E283" s="94" t="s">
        <v>242</v>
      </c>
      <c r="F283" s="97"/>
      <c r="G283" s="97"/>
      <c r="H283" s="97"/>
      <c r="I283" s="97"/>
      <c r="J283" s="97"/>
      <c r="K283" s="145"/>
    </row>
    <row r="284" spans="5:11" x14ac:dyDescent="0.25">
      <c r="E284" s="94" t="s">
        <v>243</v>
      </c>
      <c r="F284" s="97"/>
      <c r="G284" s="97"/>
      <c r="H284" s="97"/>
      <c r="I284" s="97"/>
      <c r="J284" s="97"/>
      <c r="K284" s="145"/>
    </row>
    <row r="285" spans="5:11" x14ac:dyDescent="0.25">
      <c r="E285" s="94" t="s">
        <v>244</v>
      </c>
      <c r="F285" s="97"/>
      <c r="G285" s="97"/>
      <c r="H285" s="97"/>
      <c r="I285" s="97"/>
      <c r="J285" s="97"/>
      <c r="K285" s="145"/>
    </row>
    <row r="286" spans="5:11" x14ac:dyDescent="0.25">
      <c r="E286" s="94" t="s">
        <v>245</v>
      </c>
      <c r="F286" s="97"/>
      <c r="G286" s="97"/>
      <c r="H286" s="97"/>
      <c r="I286" s="97"/>
      <c r="J286" s="97"/>
      <c r="K286" s="145"/>
    </row>
    <row r="287" spans="5:11" x14ac:dyDescent="0.25">
      <c r="E287" s="94" t="s">
        <v>244</v>
      </c>
      <c r="F287" s="97"/>
      <c r="G287" s="97"/>
      <c r="H287" s="97"/>
      <c r="I287" s="97"/>
      <c r="J287" s="97"/>
      <c r="K287" s="145"/>
    </row>
    <row r="288" spans="5:11" x14ac:dyDescent="0.25">
      <c r="E288" s="94" t="s">
        <v>246</v>
      </c>
      <c r="F288" s="97"/>
      <c r="G288" s="97"/>
      <c r="H288" s="97"/>
      <c r="I288" s="97"/>
      <c r="J288" s="97"/>
      <c r="K288" s="145">
        <v>3533.58</v>
      </c>
    </row>
    <row r="289" spans="5:11" x14ac:dyDescent="0.25">
      <c r="E289" s="94" t="s">
        <v>247</v>
      </c>
      <c r="F289" s="97"/>
      <c r="G289" s="97"/>
      <c r="H289" s="97"/>
      <c r="I289" s="97"/>
      <c r="J289" s="97"/>
      <c r="K289" s="145"/>
    </row>
    <row r="290" spans="5:11" x14ac:dyDescent="0.25">
      <c r="E290" s="94" t="s">
        <v>248</v>
      </c>
      <c r="F290" s="97"/>
      <c r="G290" s="97"/>
      <c r="H290" s="97"/>
      <c r="I290" s="97"/>
      <c r="J290" s="97"/>
      <c r="K290" s="145"/>
    </row>
    <row r="291" spans="5:11" x14ac:dyDescent="0.25">
      <c r="E291" s="94" t="s">
        <v>249</v>
      </c>
      <c r="F291" s="97"/>
      <c r="G291" s="97"/>
      <c r="H291" s="97"/>
      <c r="I291" s="97"/>
      <c r="J291" s="97"/>
      <c r="K291" s="145"/>
    </row>
    <row r="292" spans="5:11" x14ac:dyDescent="0.25">
      <c r="E292" s="94" t="s">
        <v>250</v>
      </c>
      <c r="F292" s="97"/>
      <c r="G292" s="97"/>
      <c r="H292" s="97"/>
      <c r="I292" s="97"/>
      <c r="J292" s="97"/>
      <c r="K292" s="145"/>
    </row>
    <row r="293" spans="5:11" x14ac:dyDescent="0.25">
      <c r="E293" s="94" t="s">
        <v>251</v>
      </c>
      <c r="F293" s="97"/>
      <c r="G293" s="97"/>
      <c r="H293" s="97"/>
      <c r="I293" s="97"/>
      <c r="J293" s="97"/>
      <c r="K293" s="145">
        <v>3419.46</v>
      </c>
    </row>
    <row r="294" spans="5:11" x14ac:dyDescent="0.25">
      <c r="E294" s="94" t="s">
        <v>252</v>
      </c>
      <c r="F294" s="97"/>
      <c r="G294" s="97"/>
      <c r="H294" s="97"/>
      <c r="I294" s="97"/>
      <c r="J294" s="97"/>
      <c r="K294" s="145">
        <v>9</v>
      </c>
    </row>
    <row r="295" spans="5:11" x14ac:dyDescent="0.25">
      <c r="E295" s="94" t="s">
        <v>253</v>
      </c>
      <c r="F295" s="97"/>
      <c r="G295" s="97"/>
      <c r="H295" s="97"/>
      <c r="I295" s="97"/>
      <c r="J295" s="97"/>
      <c r="K295" s="145">
        <v>9</v>
      </c>
    </row>
    <row r="296" spans="5:11" x14ac:dyDescent="0.25">
      <c r="E296" s="94" t="s">
        <v>254</v>
      </c>
      <c r="F296" s="97"/>
      <c r="G296" s="97"/>
      <c r="H296" s="97"/>
      <c r="I296" s="97"/>
      <c r="J296" s="97"/>
      <c r="K296" s="145"/>
    </row>
    <row r="297" spans="5:11" x14ac:dyDescent="0.25">
      <c r="E297" s="94" t="s">
        <v>255</v>
      </c>
      <c r="F297" s="97"/>
      <c r="G297" s="97"/>
      <c r="H297" s="97"/>
      <c r="I297" s="97"/>
      <c r="J297" s="97"/>
      <c r="K297" s="145"/>
    </row>
    <row r="298" spans="5:11" x14ac:dyDescent="0.25">
      <c r="E298" s="94" t="s">
        <v>249</v>
      </c>
      <c r="F298" s="97"/>
      <c r="G298" s="97"/>
      <c r="H298" s="97"/>
      <c r="I298" s="97"/>
      <c r="J298" s="97"/>
      <c r="K298" s="145"/>
    </row>
    <row r="299" spans="5:11" x14ac:dyDescent="0.25">
      <c r="E299" s="94" t="s">
        <v>256</v>
      </c>
      <c r="F299" s="97"/>
      <c r="G299" s="97"/>
      <c r="H299" s="97"/>
      <c r="I299" s="97"/>
      <c r="J299" s="97"/>
      <c r="K299" s="145"/>
    </row>
    <row r="300" spans="5:11" x14ac:dyDescent="0.25">
      <c r="E300" s="94" t="s">
        <v>257</v>
      </c>
      <c r="F300" s="97"/>
      <c r="G300" s="97"/>
      <c r="H300" s="97"/>
      <c r="I300" s="97"/>
      <c r="J300" s="97"/>
      <c r="K300" s="145">
        <v>0</v>
      </c>
    </row>
    <row r="301" spans="5:11" x14ac:dyDescent="0.25">
      <c r="E301" s="94" t="s">
        <v>258</v>
      </c>
      <c r="F301" s="97"/>
      <c r="G301" s="97"/>
      <c r="H301" s="97"/>
      <c r="I301" s="97"/>
      <c r="J301" s="97"/>
      <c r="K301" s="145">
        <v>502811.83</v>
      </c>
    </row>
    <row r="302" spans="5:11" x14ac:dyDescent="0.25">
      <c r="E302" s="94" t="s">
        <v>259</v>
      </c>
      <c r="F302" s="97"/>
      <c r="G302" s="97"/>
      <c r="H302" s="97"/>
      <c r="I302" s="97"/>
      <c r="J302" s="97"/>
      <c r="K302" s="145">
        <v>0</v>
      </c>
    </row>
    <row r="303" spans="5:11" x14ac:dyDescent="0.25">
      <c r="E303" s="94" t="s">
        <v>260</v>
      </c>
      <c r="F303" s="97"/>
      <c r="G303" s="97"/>
      <c r="H303" s="97"/>
      <c r="I303" s="97"/>
      <c r="J303" s="97"/>
      <c r="K303" s="145"/>
    </row>
    <row r="304" spans="5:11" x14ac:dyDescent="0.25">
      <c r="E304" s="94" t="s">
        <v>261</v>
      </c>
      <c r="F304" s="97"/>
      <c r="G304" s="97"/>
      <c r="H304" s="97"/>
      <c r="I304" s="97"/>
      <c r="J304" s="97"/>
      <c r="K304" s="145">
        <v>502811.83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0E881-F2CA-4185-9CFB-9FE85C229D70}">
  <sheetPr>
    <tabColor theme="4" tint="0.79998168889431442"/>
  </sheetPr>
  <dimension ref="A1:L432"/>
  <sheetViews>
    <sheetView topLeftCell="A369" workbookViewId="0">
      <selection sqref="A1:L384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3.8" x14ac:dyDescent="0.25">
      <c r="E1" s="181" t="s">
        <v>411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0.94171903027637927</v>
      </c>
      <c r="B4" s="139">
        <f>MAX(F4:K4)</f>
        <v>1.954045232717182</v>
      </c>
      <c r="C4" s="155">
        <f>AVERAGE(F4:K4)</f>
        <v>1.2381946859827806</v>
      </c>
      <c r="D4" s="156">
        <f>MEDIAN(F4:K4)</f>
        <v>1.0594701698542888</v>
      </c>
      <c r="E4" s="47" t="s">
        <v>364</v>
      </c>
      <c r="F4" s="71">
        <f>SUM(F9:F12)/SUM(F13:F15)</f>
        <v>1.0223457352813978</v>
      </c>
      <c r="G4" s="71">
        <f t="shared" ref="G4:K4" si="0">SUM(G9:G12)/SUM(G13:G15)</f>
        <v>1.4277449649125322</v>
      </c>
      <c r="H4" s="71">
        <f t="shared" si="0"/>
        <v>1.0965946044271797</v>
      </c>
      <c r="I4" s="71">
        <f t="shared" si="0"/>
        <v>1.954045232717182</v>
      </c>
      <c r="J4" s="71">
        <f t="shared" si="0"/>
        <v>0.94171903027637927</v>
      </c>
      <c r="K4" s="71">
        <f t="shared" si="0"/>
        <v>0.98671854828201166</v>
      </c>
    </row>
    <row r="5" spans="1:11" x14ac:dyDescent="0.25">
      <c r="A5" s="139">
        <f t="shared" ref="A5:A7" si="1">MIN(F5:K5)</f>
        <v>1.8858508708179538</v>
      </c>
      <c r="B5" s="139">
        <f t="shared" ref="B5:B7" si="2">MAX(F5:K5)</f>
        <v>21.485015281266076</v>
      </c>
      <c r="C5" s="155">
        <f t="shared" ref="C5:C7" si="3">AVERAGEIF(F5:K5,"&gt;0")</f>
        <v>11.549508477508999</v>
      </c>
      <c r="D5" s="156">
        <f t="shared" ref="D5:D7" si="4">_xlfn.AGGREGATE(12,6,F5:K5)</f>
        <v>11.335585311349643</v>
      </c>
      <c r="E5" s="47" t="s">
        <v>363</v>
      </c>
      <c r="F5" s="71">
        <f t="shared" ref="F5:K5" si="5">SUM(F9:F12)/F14</f>
        <v>1.8858508708179538</v>
      </c>
      <c r="G5" s="71">
        <f t="shared" si="5"/>
        <v>4.9702149345953979</v>
      </c>
      <c r="H5" s="71">
        <f t="shared" si="5"/>
        <v>19.315012392277872</v>
      </c>
      <c r="I5" s="71">
        <f t="shared" si="5"/>
        <v>3.9400016979928081</v>
      </c>
      <c r="J5" s="71">
        <f t="shared" si="5"/>
        <v>17.700955688103889</v>
      </c>
      <c r="K5" s="71">
        <f t="shared" si="5"/>
        <v>21.485015281266076</v>
      </c>
    </row>
    <row r="6" spans="1:11" x14ac:dyDescent="0.25">
      <c r="A6" s="139">
        <f t="shared" si="1"/>
        <v>1.8858508708179538</v>
      </c>
      <c r="B6" s="139">
        <f t="shared" si="2"/>
        <v>21.47889240000173</v>
      </c>
      <c r="C6" s="155">
        <f t="shared" si="3"/>
        <v>11.534980927685417</v>
      </c>
      <c r="D6" s="156">
        <f t="shared" si="4"/>
        <v>11.322176664424713</v>
      </c>
      <c r="E6" s="47" t="s">
        <v>365</v>
      </c>
      <c r="F6" s="71">
        <f t="shared" ref="F6:K6" si="6">SUM(F10:F11)/F14</f>
        <v>1.8858508708179538</v>
      </c>
      <c r="G6" s="71">
        <f t="shared" si="6"/>
        <v>4.9702149345953979</v>
      </c>
      <c r="H6" s="71">
        <f t="shared" si="6"/>
        <v>19.281491825918057</v>
      </c>
      <c r="I6" s="71">
        <f t="shared" si="6"/>
        <v>3.919297140525337</v>
      </c>
      <c r="J6" s="71">
        <f t="shared" si="6"/>
        <v>17.67413839425403</v>
      </c>
      <c r="K6" s="71">
        <f t="shared" si="6"/>
        <v>21.47889240000173</v>
      </c>
    </row>
    <row r="7" spans="1:11" ht="13.8" thickBot="1" x14ac:dyDescent="0.3">
      <c r="A7" s="139">
        <f t="shared" si="1"/>
        <v>1.1404649089868295</v>
      </c>
      <c r="B7" s="139">
        <f t="shared" si="2"/>
        <v>21.015175572453085</v>
      </c>
      <c r="C7" s="155">
        <f t="shared" si="3"/>
        <v>10.40512621580708</v>
      </c>
      <c r="D7" s="156">
        <f t="shared" si="4"/>
        <v>10.596652381993152</v>
      </c>
      <c r="E7" s="49" t="s">
        <v>366</v>
      </c>
      <c r="F7" s="73">
        <f t="shared" ref="F7:K7" si="7">F11/F14</f>
        <v>1.1404649089868295</v>
      </c>
      <c r="G7" s="73">
        <f t="shared" si="7"/>
        <v>4.4093344824939056</v>
      </c>
      <c r="H7" s="73">
        <f t="shared" si="7"/>
        <v>16.783970281492401</v>
      </c>
      <c r="I7" s="73">
        <f t="shared" si="7"/>
        <v>2.1083076580388549</v>
      </c>
      <c r="J7" s="73">
        <f t="shared" si="7"/>
        <v>16.973504391377404</v>
      </c>
      <c r="K7" s="73">
        <f t="shared" si="7"/>
        <v>21.015175572453085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162297</v>
      </c>
      <c r="G10" s="76">
        <f t="shared" ref="G10:K10" si="9">G133</f>
        <v>66925.31</v>
      </c>
      <c r="H10" s="76">
        <f t="shared" si="9"/>
        <v>43512.17</v>
      </c>
      <c r="I10" s="76">
        <f t="shared" si="9"/>
        <v>99188.89</v>
      </c>
      <c r="J10" s="76">
        <f t="shared" si="9"/>
        <v>21540.53</v>
      </c>
      <c r="K10" s="76">
        <f t="shared" si="9"/>
        <v>21454.23</v>
      </c>
    </row>
    <row r="11" spans="1:11" x14ac:dyDescent="0.25">
      <c r="E11" s="43" t="s">
        <v>287</v>
      </c>
      <c r="F11" s="76">
        <f>F151</f>
        <v>248319.72</v>
      </c>
      <c r="G11" s="76">
        <f t="shared" ref="G11:K11" si="10">G151</f>
        <v>526130.07999999996</v>
      </c>
      <c r="H11" s="76">
        <f t="shared" si="10"/>
        <v>292412.68</v>
      </c>
      <c r="I11" s="76">
        <f t="shared" si="10"/>
        <v>115473.17</v>
      </c>
      <c r="J11" s="76">
        <f t="shared" si="10"/>
        <v>521839.19</v>
      </c>
      <c r="K11" s="76">
        <f t="shared" si="10"/>
        <v>972283.91</v>
      </c>
    </row>
    <row r="12" spans="1:11" x14ac:dyDescent="0.25">
      <c r="E12" s="43" t="s">
        <v>290</v>
      </c>
      <c r="F12" s="76">
        <f>F168</f>
        <v>0</v>
      </c>
      <c r="G12" s="76">
        <f t="shared" ref="G12:K12" si="11">G168</f>
        <v>0</v>
      </c>
      <c r="H12" s="76">
        <f t="shared" si="11"/>
        <v>584</v>
      </c>
      <c r="I12" s="76">
        <f t="shared" si="11"/>
        <v>1134</v>
      </c>
      <c r="J12" s="76">
        <f t="shared" si="11"/>
        <v>824.48</v>
      </c>
      <c r="K12" s="76">
        <f t="shared" si="11"/>
        <v>283.27999999999997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217735.52</v>
      </c>
      <c r="G14" s="76">
        <f t="shared" ref="G14:K14" si="13">G202</f>
        <v>119321.88</v>
      </c>
      <c r="H14" s="76">
        <f t="shared" si="13"/>
        <v>17422.14</v>
      </c>
      <c r="I14" s="76">
        <f t="shared" si="13"/>
        <v>54770.55</v>
      </c>
      <c r="J14" s="76">
        <f t="shared" si="13"/>
        <v>30744.34</v>
      </c>
      <c r="K14" s="76">
        <f t="shared" si="13"/>
        <v>46265.8</v>
      </c>
    </row>
    <row r="15" spans="1:11" x14ac:dyDescent="0.25">
      <c r="E15" s="43" t="s">
        <v>362</v>
      </c>
      <c r="F15" s="76">
        <f>F222</f>
        <v>183906.22</v>
      </c>
      <c r="G15" s="76">
        <f t="shared" ref="G15:K15" si="14">G222</f>
        <v>296057.2</v>
      </c>
      <c r="H15" s="76">
        <f t="shared" si="14"/>
        <v>289445</v>
      </c>
      <c r="I15" s="76">
        <f t="shared" si="14"/>
        <v>55665</v>
      </c>
      <c r="J15" s="76">
        <f t="shared" si="14"/>
        <v>547139.49</v>
      </c>
      <c r="K15" s="76">
        <f t="shared" si="14"/>
        <v>961135.37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5.2179163761954568</v>
      </c>
      <c r="B19" s="152">
        <f t="shared" ref="B19:B25" si="16">MAX(F19:K19)</f>
        <v>89.303375751185882</v>
      </c>
      <c r="C19" s="156">
        <f>AVERAGE(F19:K19)</f>
        <v>59.405928080067547</v>
      </c>
      <c r="D19" s="156">
        <f>MEDIAN(F19:K19)</f>
        <v>64.900884572034016</v>
      </c>
      <c r="E19" s="47" t="s">
        <v>293</v>
      </c>
      <c r="F19" s="71">
        <f>F28/(F27/365)</f>
        <v>68.055492177842197</v>
      </c>
      <c r="G19" s="71">
        <f t="shared" ref="G19:K19" si="17">G28/(G27/365)</f>
        <v>76.704720556068096</v>
      </c>
      <c r="H19" s="71">
        <f t="shared" si="17"/>
        <v>61.746276966225842</v>
      </c>
      <c r="I19" s="71">
        <f t="shared" si="17"/>
        <v>89.303375751185882</v>
      </c>
      <c r="J19" s="71">
        <f t="shared" si="17"/>
        <v>55.407786652887822</v>
      </c>
      <c r="K19" s="71">
        <f t="shared" si="17"/>
        <v>5.2179163761954568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11.25237659323051</v>
      </c>
      <c r="B21" s="152">
        <f t="shared" si="16"/>
        <v>136.75769991389939</v>
      </c>
      <c r="C21" s="156">
        <f t="shared" si="18"/>
        <v>65.404954803317267</v>
      </c>
      <c r="D21" s="156">
        <f t="shared" si="19"/>
        <v>64.197139301887518</v>
      </c>
      <c r="E21" s="47" t="s">
        <v>368</v>
      </c>
      <c r="F21" s="71">
        <f>F30/(F27/365)</f>
        <v>91.302352959071342</v>
      </c>
      <c r="G21" s="71">
        <f t="shared" ref="G21:K21" si="21">G30/(G27/365)</f>
        <v>136.75769991389939</v>
      </c>
      <c r="H21" s="71">
        <f t="shared" si="21"/>
        <v>24.723020749927247</v>
      </c>
      <c r="I21" s="71">
        <f t="shared" si="21"/>
        <v>49.311924014364052</v>
      </c>
      <c r="J21" s="71">
        <f t="shared" si="21"/>
        <v>79.082354589410997</v>
      </c>
      <c r="K21" s="71">
        <f t="shared" si="21"/>
        <v>11.25237659323051</v>
      </c>
    </row>
    <row r="22" spans="1:11" x14ac:dyDescent="0.25">
      <c r="A22" s="152">
        <f t="shared" si="15"/>
        <v>-60.05297935783129</v>
      </c>
      <c r="B22" s="152">
        <f t="shared" si="16"/>
        <v>39.99145173682183</v>
      </c>
      <c r="C22" s="156">
        <f t="shared" si="18"/>
        <v>-5.999026723249707</v>
      </c>
      <c r="D22" s="156">
        <f t="shared" si="19"/>
        <v>-14.6406604991321</v>
      </c>
      <c r="E22" s="47" t="s">
        <v>294</v>
      </c>
      <c r="F22" s="71">
        <f>F19+F20-F21</f>
        <v>-23.246860781229145</v>
      </c>
      <c r="G22" s="71">
        <f t="shared" ref="G22:K22" si="22">G19+G20-G21</f>
        <v>-60.05297935783129</v>
      </c>
      <c r="H22" s="71">
        <f t="shared" si="22"/>
        <v>37.023256216298591</v>
      </c>
      <c r="I22" s="71">
        <f t="shared" si="22"/>
        <v>39.99145173682183</v>
      </c>
      <c r="J22" s="71">
        <f t="shared" si="22"/>
        <v>-23.674567936523175</v>
      </c>
      <c r="K22" s="71">
        <f t="shared" si="22"/>
        <v>-6.0344602170350532</v>
      </c>
    </row>
    <row r="23" spans="1:11" x14ac:dyDescent="0.25">
      <c r="A23" s="152">
        <f t="shared" si="15"/>
        <v>0.14146576252174795</v>
      </c>
      <c r="B23" s="152">
        <f t="shared" si="16"/>
        <v>1.0474792402440445</v>
      </c>
      <c r="C23" s="156">
        <f t="shared" si="18"/>
        <v>0.55047255644220394</v>
      </c>
      <c r="D23" s="156">
        <f t="shared" si="19"/>
        <v>0.48489682568983217</v>
      </c>
      <c r="E23" s="47" t="s">
        <v>295</v>
      </c>
      <c r="F23" s="71">
        <f>F27/F31</f>
        <v>0.8621664084008609</v>
      </c>
      <c r="G23" s="71">
        <f t="shared" ref="G23:K23" si="23">G27/G31</f>
        <v>0.28193027610690563</v>
      </c>
      <c r="H23" s="71">
        <f t="shared" si="23"/>
        <v>0.34791852396477946</v>
      </c>
      <c r="I23" s="71">
        <f t="shared" si="23"/>
        <v>0.62187512741488493</v>
      </c>
      <c r="J23" s="71">
        <f t="shared" si="23"/>
        <v>0.14146576252174795</v>
      </c>
      <c r="K23" s="71">
        <f t="shared" si="23"/>
        <v>1.0474792402440445</v>
      </c>
    </row>
    <row r="24" spans="1:11" x14ac:dyDescent="0.25">
      <c r="A24" s="152">
        <f t="shared" si="15"/>
        <v>0.30924437248581382</v>
      </c>
      <c r="B24" s="152">
        <f t="shared" si="16"/>
        <v>3.4208665887889662</v>
      </c>
      <c r="C24" s="156">
        <f t="shared" si="18"/>
        <v>1.2241763243197197</v>
      </c>
      <c r="D24" s="156">
        <f t="shared" si="19"/>
        <v>0.78409142478001859</v>
      </c>
      <c r="E24" s="121" t="s">
        <v>369</v>
      </c>
      <c r="F24" s="71">
        <f>F27/F32</f>
        <v>1.4532017762717575</v>
      </c>
      <c r="G24" s="71">
        <f t="shared" ref="G24:K24" si="24">G27/G32</f>
        <v>0.59356235881174357</v>
      </c>
      <c r="H24" s="71">
        <f t="shared" si="24"/>
        <v>0.63859111746105979</v>
      </c>
      <c r="I24" s="71">
        <f t="shared" si="24"/>
        <v>0.92959173209897739</v>
      </c>
      <c r="J24" s="71">
        <f t="shared" si="24"/>
        <v>0.30924437248581382</v>
      </c>
      <c r="K24" s="71">
        <f t="shared" si="24"/>
        <v>3.4208665887889662</v>
      </c>
    </row>
    <row r="25" spans="1:11" ht="13.8" thickBot="1" x14ac:dyDescent="0.3">
      <c r="A25" s="152">
        <f t="shared" si="15"/>
        <v>0.26074534154642687</v>
      </c>
      <c r="B25" s="152">
        <f t="shared" si="16"/>
        <v>2.1198422704267865</v>
      </c>
      <c r="C25" s="156">
        <f t="shared" si="18"/>
        <v>1.1783926595257261</v>
      </c>
      <c r="D25" s="156">
        <f t="shared" si="19"/>
        <v>1.1370673143125654</v>
      </c>
      <c r="E25" s="49" t="s">
        <v>296</v>
      </c>
      <c r="F25" s="73">
        <f>F27/F33</f>
        <v>2.1198422704267865</v>
      </c>
      <c r="G25" s="73">
        <f t="shared" ref="G25:K25" si="25">G27/G33</f>
        <v>0.53698963936572597</v>
      </c>
      <c r="H25" s="73">
        <f t="shared" si="25"/>
        <v>0.76435716326628567</v>
      </c>
      <c r="I25" s="73">
        <f t="shared" si="25"/>
        <v>1.8786440771902879</v>
      </c>
      <c r="J25" s="73">
        <f t="shared" si="25"/>
        <v>0.26074534154642687</v>
      </c>
      <c r="K25" s="73">
        <f t="shared" si="25"/>
        <v>1.5097774653588449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870442.68</v>
      </c>
      <c r="G27" s="76">
        <f t="shared" ref="G27:K27" si="26">G228</f>
        <v>318464.59999999998</v>
      </c>
      <c r="H27" s="76">
        <f t="shared" si="26"/>
        <v>257212.95</v>
      </c>
      <c r="I27" s="76">
        <f t="shared" si="26"/>
        <v>405403.99</v>
      </c>
      <c r="J27" s="76">
        <f t="shared" si="26"/>
        <v>141898.71</v>
      </c>
      <c r="K27" s="76">
        <f t="shared" si="26"/>
        <v>1500751.14</v>
      </c>
    </row>
    <row r="28" spans="1:11" x14ac:dyDescent="0.25">
      <c r="E28" s="43" t="s">
        <v>305</v>
      </c>
      <c r="F28" s="76">
        <f>F133</f>
        <v>162297</v>
      </c>
      <c r="G28" s="76">
        <f t="shared" ref="G28:K28" si="27">G133</f>
        <v>66925.31</v>
      </c>
      <c r="H28" s="76">
        <f t="shared" si="27"/>
        <v>43512.17</v>
      </c>
      <c r="I28" s="76">
        <f t="shared" si="27"/>
        <v>99188.89</v>
      </c>
      <c r="J28" s="76">
        <f t="shared" si="27"/>
        <v>21540.53</v>
      </c>
      <c r="K28" s="76">
        <f t="shared" si="27"/>
        <v>21454.23</v>
      </c>
    </row>
    <row r="29" spans="1:11" x14ac:dyDescent="0.25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F202</f>
        <v>217735.52</v>
      </c>
      <c r="G30" s="76">
        <f t="shared" ref="G30:K30" si="29">G202</f>
        <v>119321.88</v>
      </c>
      <c r="H30" s="76">
        <f t="shared" si="29"/>
        <v>17422.14</v>
      </c>
      <c r="I30" s="76">
        <f t="shared" si="29"/>
        <v>54770.55</v>
      </c>
      <c r="J30" s="76">
        <f t="shared" si="29"/>
        <v>30744.34</v>
      </c>
      <c r="K30" s="76">
        <f t="shared" si="29"/>
        <v>46265.8</v>
      </c>
    </row>
    <row r="31" spans="1:11" x14ac:dyDescent="0.25">
      <c r="E31" s="43" t="s">
        <v>303</v>
      </c>
      <c r="F31" s="76">
        <f>F171</f>
        <v>1009599.39</v>
      </c>
      <c r="G31" s="76">
        <f t="shared" ref="G31:K31" si="30">G171</f>
        <v>1129586.3799999999</v>
      </c>
      <c r="H31" s="76">
        <f t="shared" si="30"/>
        <v>739290.76</v>
      </c>
      <c r="I31" s="76">
        <f t="shared" si="30"/>
        <v>651905.78</v>
      </c>
      <c r="J31" s="76">
        <f t="shared" si="30"/>
        <v>1003060.44</v>
      </c>
      <c r="K31" s="76">
        <f t="shared" si="30"/>
        <v>1432726.38</v>
      </c>
    </row>
    <row r="32" spans="1:11" x14ac:dyDescent="0.25">
      <c r="E32" s="43" t="s">
        <v>308</v>
      </c>
      <c r="F32" s="76">
        <f>F84</f>
        <v>598982.67000000004</v>
      </c>
      <c r="G32" s="76">
        <f t="shared" ref="G32:K32" si="31">G84</f>
        <v>536530.99</v>
      </c>
      <c r="H32" s="76">
        <f t="shared" si="31"/>
        <v>402781.91</v>
      </c>
      <c r="I32" s="76">
        <f t="shared" si="31"/>
        <v>436109.72</v>
      </c>
      <c r="J32" s="76">
        <f t="shared" si="31"/>
        <v>458856.24</v>
      </c>
      <c r="K32" s="76">
        <f t="shared" si="31"/>
        <v>438704.96</v>
      </c>
    </row>
    <row r="33" spans="1:11" x14ac:dyDescent="0.25">
      <c r="E33" s="43" t="s">
        <v>309</v>
      </c>
      <c r="F33" s="76">
        <f>F126</f>
        <v>410616.72</v>
      </c>
      <c r="G33" s="76">
        <f t="shared" ref="G33:K33" si="32">G126</f>
        <v>593055.39</v>
      </c>
      <c r="H33" s="76">
        <f t="shared" si="32"/>
        <v>336508.85</v>
      </c>
      <c r="I33" s="76">
        <f t="shared" si="32"/>
        <v>215796.06</v>
      </c>
      <c r="J33" s="76">
        <f t="shared" si="32"/>
        <v>544204.19999999995</v>
      </c>
      <c r="K33" s="76">
        <f t="shared" si="32"/>
        <v>994021.42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2.3566018869220006E-2</v>
      </c>
      <c r="B37" s="139">
        <f t="shared" ref="B37:B41" si="34">MAX(F37:K37)</f>
        <v>0.38546390167688194</v>
      </c>
      <c r="C37" s="160">
        <f t="shared" ref="C37:C41" si="35">AVERAGE(F37:K37)</f>
        <v>0.18021736812861797</v>
      </c>
      <c r="D37" s="160">
        <f t="shared" ref="D37:D41" si="36">MEDIAN(F37:K37)</f>
        <v>0.14405607995241504</v>
      </c>
      <c r="E37" s="126" t="s">
        <v>370</v>
      </c>
      <c r="F37" s="131">
        <f>F43/F44*100%</f>
        <v>0.38546390167688194</v>
      </c>
      <c r="G37" s="124">
        <f t="shared" ref="G37:K37" si="37">G43/G44*100%</f>
        <v>0.35351159244678576</v>
      </c>
      <c r="H37" s="124">
        <f t="shared" si="37"/>
        <v>2.3566018869220006E-2</v>
      </c>
      <c r="I37" s="124">
        <f t="shared" si="37"/>
        <v>0.25582002049437264</v>
      </c>
      <c r="J37" s="124">
        <f t="shared" si="37"/>
        <v>3.0650535873989807E-2</v>
      </c>
      <c r="K37" s="132">
        <f t="shared" si="37"/>
        <v>3.2292139410457429E-2</v>
      </c>
    </row>
    <row r="38" spans="1:11" x14ac:dyDescent="0.25">
      <c r="A38" s="139">
        <f t="shared" si="33"/>
        <v>4.0289519800051625E-2</v>
      </c>
      <c r="B38" s="139">
        <f t="shared" si="34"/>
        <v>0.919657223634886</v>
      </c>
      <c r="C38" s="155">
        <f t="shared" si="35"/>
        <v>0.40347453186453192</v>
      </c>
      <c r="D38" s="156">
        <f t="shared" si="36"/>
        <v>0.24854718659551581</v>
      </c>
      <c r="E38" s="127" t="s">
        <v>298</v>
      </c>
      <c r="F38" s="133">
        <f>F43/F45</f>
        <v>0.89149649948840748</v>
      </c>
      <c r="G38" s="122">
        <f t="shared" ref="G38:K38" si="38">G43/G45</f>
        <v>0.919657223634886</v>
      </c>
      <c r="H38" s="122">
        <f t="shared" si="38"/>
        <v>4.0289519800051625E-2</v>
      </c>
      <c r="I38" s="122">
        <f t="shared" si="38"/>
        <v>0.38831690382823508</v>
      </c>
      <c r="J38" s="122">
        <f t="shared" si="38"/>
        <v>7.2309575072815033E-2</v>
      </c>
      <c r="K38" s="134">
        <f t="shared" si="38"/>
        <v>0.10877746936279653</v>
      </c>
    </row>
    <row r="39" spans="1:11" x14ac:dyDescent="0.25">
      <c r="A39" s="139">
        <f t="shared" si="33"/>
        <v>1.5179300786459635</v>
      </c>
      <c r="B39" s="139">
        <f t="shared" si="34"/>
        <v>3.3685432847961208</v>
      </c>
      <c r="C39" s="155">
        <f t="shared" si="35"/>
        <v>2.3115932479376302</v>
      </c>
      <c r="D39" s="156">
        <f t="shared" si="36"/>
        <v>2.3359752041822937</v>
      </c>
      <c r="E39" s="127" t="s">
        <v>299</v>
      </c>
      <c r="F39" s="133">
        <f>F44/F45</f>
        <v>2.3127885532474872</v>
      </c>
      <c r="G39" s="122">
        <f t="shared" ref="G39:K39" si="39">G44/G45</f>
        <v>2.6014909928967107</v>
      </c>
      <c r="H39" s="122">
        <f t="shared" si="39"/>
        <v>1.7096447229223972</v>
      </c>
      <c r="I39" s="122">
        <f t="shared" si="39"/>
        <v>1.5179300786459635</v>
      </c>
      <c r="J39" s="122">
        <f t="shared" si="39"/>
        <v>2.3591618551171005</v>
      </c>
      <c r="K39" s="134">
        <f t="shared" si="39"/>
        <v>3.3685432847961208</v>
      </c>
    </row>
    <row r="40" spans="1:11" x14ac:dyDescent="0.25">
      <c r="A40" s="139">
        <f t="shared" si="33"/>
        <v>0</v>
      </c>
      <c r="B40" s="139">
        <f t="shared" si="34"/>
        <v>0.24787834286741314</v>
      </c>
      <c r="C40" s="160">
        <f t="shared" si="35"/>
        <v>9.8246824648556039E-2</v>
      </c>
      <c r="D40" s="160">
        <f t="shared" si="36"/>
        <v>8.4899318332591303E-2</v>
      </c>
      <c r="E40" s="128" t="s">
        <v>371</v>
      </c>
      <c r="F40" s="131">
        <f>F46/F44*100%</f>
        <v>0.16979863666518261</v>
      </c>
      <c r="G40" s="124">
        <f t="shared" ref="G40:K40" si="40">G46/G44*100%</f>
        <v>0.24787834286741314</v>
      </c>
      <c r="H40" s="124">
        <f t="shared" si="40"/>
        <v>0</v>
      </c>
      <c r="I40" s="124">
        <f t="shared" si="40"/>
        <v>0.17180396835874043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0.71645009254488901</v>
      </c>
      <c r="B41" s="139">
        <f t="shared" si="34"/>
        <v>80.239449133718338</v>
      </c>
      <c r="C41" s="155">
        <f t="shared" si="35"/>
        <v>18.223729979238858</v>
      </c>
      <c r="D41" s="156">
        <f t="shared" si="36"/>
        <v>7.2093801632416543</v>
      </c>
      <c r="E41" s="129" t="s">
        <v>300</v>
      </c>
      <c r="F41" s="135">
        <f>(F47+F48)/F48</f>
        <v>1.9119473285574526</v>
      </c>
      <c r="G41" s="123">
        <f t="shared" ref="G41:K41" si="41">(G47+G48)/G48</f>
        <v>80.239449133718338</v>
      </c>
      <c r="H41" s="123">
        <f t="shared" si="41"/>
        <v>9.0806314810254722</v>
      </c>
      <c r="I41" s="123">
        <f t="shared" si="41"/>
        <v>12.055772994129157</v>
      </c>
      <c r="J41" s="123">
        <f t="shared" si="41"/>
        <v>0.71645009254488901</v>
      </c>
      <c r="K41" s="136">
        <f t="shared" si="41"/>
        <v>5.3381288454578364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389164.12</v>
      </c>
      <c r="G43" s="76">
        <f t="shared" ref="G43:K43" si="42">G193+G202</f>
        <v>399321.88</v>
      </c>
      <c r="H43" s="76">
        <f t="shared" si="42"/>
        <v>17422.14</v>
      </c>
      <c r="I43" s="76">
        <f t="shared" si="42"/>
        <v>166770.54999999999</v>
      </c>
      <c r="J43" s="76">
        <f t="shared" si="42"/>
        <v>30744.34</v>
      </c>
      <c r="K43" s="76">
        <f t="shared" si="42"/>
        <v>46265.8</v>
      </c>
    </row>
    <row r="44" spans="1:11" x14ac:dyDescent="0.25">
      <c r="E44" s="43" t="s">
        <v>303</v>
      </c>
      <c r="F44" s="76">
        <f>F171</f>
        <v>1009599.39</v>
      </c>
      <c r="G44" s="76">
        <f t="shared" ref="G44:K44" si="43">G171</f>
        <v>1129586.3799999999</v>
      </c>
      <c r="H44" s="76">
        <f t="shared" si="43"/>
        <v>739290.76</v>
      </c>
      <c r="I44" s="76">
        <f t="shared" si="43"/>
        <v>651905.78</v>
      </c>
      <c r="J44" s="76">
        <f t="shared" si="43"/>
        <v>1003060.44</v>
      </c>
      <c r="K44" s="76">
        <f t="shared" si="43"/>
        <v>1432726.38</v>
      </c>
    </row>
    <row r="45" spans="1:11" x14ac:dyDescent="0.25">
      <c r="E45" s="43" t="s">
        <v>311</v>
      </c>
      <c r="F45" s="76">
        <f>F172</f>
        <v>436529.05</v>
      </c>
      <c r="G45" s="76">
        <f t="shared" ref="G45:K45" si="44">G172</f>
        <v>434207.3</v>
      </c>
      <c r="H45" s="76">
        <f t="shared" si="44"/>
        <v>432423.62</v>
      </c>
      <c r="I45" s="76">
        <f t="shared" si="44"/>
        <v>429470.23</v>
      </c>
      <c r="J45" s="76">
        <f t="shared" si="44"/>
        <v>425176.61</v>
      </c>
      <c r="K45" s="76">
        <f t="shared" si="44"/>
        <v>425325.21</v>
      </c>
    </row>
    <row r="46" spans="1:11" x14ac:dyDescent="0.25">
      <c r="E46" s="43" t="s">
        <v>312</v>
      </c>
      <c r="F46" s="76">
        <f>F193</f>
        <v>171428.6</v>
      </c>
      <c r="G46" s="76">
        <f t="shared" ref="G46:K46" si="45">G193</f>
        <v>280000</v>
      </c>
      <c r="H46" s="76">
        <f t="shared" si="45"/>
        <v>0</v>
      </c>
      <c r="I46" s="76">
        <f t="shared" si="45"/>
        <v>112000</v>
      </c>
      <c r="J46" s="76">
        <f t="shared" si="45"/>
        <v>0</v>
      </c>
      <c r="K46" s="76">
        <f t="shared" si="45"/>
        <v>0</v>
      </c>
    </row>
    <row r="47" spans="1:11" x14ac:dyDescent="0.25">
      <c r="E47" s="43" t="s">
        <v>313</v>
      </c>
      <c r="F47" s="76">
        <f>F275</f>
        <v>2311.75</v>
      </c>
      <c r="G47" s="76">
        <f t="shared" ref="G47:K47" si="46">G275</f>
        <v>1783.68</v>
      </c>
      <c r="H47" s="76">
        <f t="shared" si="46"/>
        <v>2953.39</v>
      </c>
      <c r="I47" s="76">
        <f t="shared" si="46"/>
        <v>4293.62</v>
      </c>
      <c r="J47" s="76">
        <f t="shared" si="46"/>
        <v>-148.6</v>
      </c>
      <c r="K47" s="76">
        <f t="shared" si="46"/>
        <v>958.9</v>
      </c>
    </row>
    <row r="48" spans="1:11" x14ac:dyDescent="0.25">
      <c r="E48" s="43" t="s">
        <v>314</v>
      </c>
      <c r="F48" s="76">
        <f>F269</f>
        <v>2534.96</v>
      </c>
      <c r="G48" s="76">
        <f t="shared" ref="G48:K48" si="47">G269</f>
        <v>22.51</v>
      </c>
      <c r="H48" s="76">
        <f t="shared" si="47"/>
        <v>365.49</v>
      </c>
      <c r="I48" s="76">
        <f t="shared" si="47"/>
        <v>388.36</v>
      </c>
      <c r="J48" s="76">
        <f t="shared" si="47"/>
        <v>524.07000000000005</v>
      </c>
      <c r="K48" s="76">
        <f t="shared" si="47"/>
        <v>221.04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4.0280541079055971E-5</v>
      </c>
      <c r="B52" s="139">
        <f t="shared" ref="B52:B63" si="49">MAX(F52:K52)</f>
        <v>4.7331643784029494E-3</v>
      </c>
      <c r="C52" s="160">
        <f t="shared" ref="C52:C63" si="50">AVERAGE(F52:K52)</f>
        <v>2.1797219619104414E-3</v>
      </c>
      <c r="D52" s="160">
        <f t="shared" ref="D52:D63" si="51">MEDIAN(F52:K52)</f>
        <v>1.9958127639663468E-3</v>
      </c>
      <c r="E52" s="50" t="s">
        <v>350</v>
      </c>
      <c r="F52" s="124">
        <f t="shared" ref="F52:K52" si="52">(F65/(F70+F71))*100%</f>
        <v>2.6308822545314352E-3</v>
      </c>
      <c r="G52" s="124">
        <f t="shared" si="52"/>
        <v>1.3607432734012582E-3</v>
      </c>
      <c r="H52" s="124">
        <f t="shared" si="52"/>
        <v>4.7331643784029494E-3</v>
      </c>
      <c r="I52" s="124">
        <f t="shared" si="52"/>
        <v>4.1482405733190755E-3</v>
      </c>
      <c r="J52" s="124">
        <f t="shared" si="52"/>
        <v>4.0280541079055971E-5</v>
      </c>
      <c r="K52" s="132">
        <f t="shared" si="52"/>
        <v>1.6502075072887356E-4</v>
      </c>
    </row>
    <row r="53" spans="1:11" x14ac:dyDescent="0.25">
      <c r="A53" s="139">
        <f t="shared" si="48"/>
        <v>-12.202657797241427</v>
      </c>
      <c r="B53" s="139">
        <f t="shared" si="49"/>
        <v>4.5009527695577837E-3</v>
      </c>
      <c r="C53" s="160">
        <f t="shared" si="50"/>
        <v>-3.307950833466315</v>
      </c>
      <c r="D53" s="160">
        <f t="shared" si="51"/>
        <v>-1.695452108958867</v>
      </c>
      <c r="E53" s="50" t="s">
        <v>351</v>
      </c>
      <c r="F53" s="124">
        <f>(F66/F70)*100%</f>
        <v>-1.1085550745282848</v>
      </c>
      <c r="G53" s="124">
        <f t="shared" ref="G53:K53" si="53">(G66/G70)*100%</f>
        <v>-3.1500888638800046</v>
      </c>
      <c r="H53" s="124">
        <f t="shared" si="53"/>
        <v>-1.6412539493054297</v>
      </c>
      <c r="I53" s="124">
        <f t="shared" si="53"/>
        <v>-1.7496502686123043</v>
      </c>
      <c r="J53" s="124">
        <f t="shared" si="53"/>
        <v>-12.202657797241427</v>
      </c>
      <c r="K53" s="132">
        <f t="shared" si="53"/>
        <v>4.5009527695577837E-3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5"/>
      <c r="G54" s="175"/>
      <c r="H54" s="175"/>
      <c r="I54" s="175"/>
      <c r="J54" s="175"/>
      <c r="K54" s="176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5"/>
      <c r="G55" s="175"/>
      <c r="H55" s="175"/>
      <c r="I55" s="175"/>
      <c r="J55" s="175"/>
      <c r="K55" s="176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5"/>
      <c r="G56" s="175"/>
      <c r="H56" s="175"/>
      <c r="I56" s="175"/>
      <c r="J56" s="175"/>
      <c r="K56" s="176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5"/>
      <c r="G57" s="175"/>
      <c r="H57" s="175"/>
      <c r="I57" s="175"/>
      <c r="J57" s="175"/>
      <c r="K57" s="176"/>
    </row>
    <row r="58" spans="1:11" x14ac:dyDescent="0.25">
      <c r="A58" s="139">
        <f t="shared" si="48"/>
        <v>-7.9312155881114578E-5</v>
      </c>
      <c r="B58" s="139">
        <f t="shared" si="49"/>
        <v>4.2119270186121481E-3</v>
      </c>
      <c r="C58" s="155">
        <f t="shared" si="50"/>
        <v>1.8647152060521539E-3</v>
      </c>
      <c r="D58" s="156">
        <f t="shared" si="51"/>
        <v>1.2993223233338275E-3</v>
      </c>
      <c r="E58" s="50" t="s">
        <v>356</v>
      </c>
      <c r="F58" s="122">
        <f>F68/(F70+F71+F72+F73+F74+F75)</f>
        <v>1.254859905361172E-3</v>
      </c>
      <c r="G58" s="122">
        <f t="shared" ref="G58:K58" si="54">G68/(G70+G71+G72+G73+G74)</f>
        <v>1.3437847413064828E-3</v>
      </c>
      <c r="H58" s="122">
        <f t="shared" si="54"/>
        <v>4.2119270186121481E-3</v>
      </c>
      <c r="I58" s="122">
        <f t="shared" si="54"/>
        <v>3.8239261900897309E-3</v>
      </c>
      <c r="J58" s="122">
        <f t="shared" si="54"/>
        <v>-7.9312155881114578E-5</v>
      </c>
      <c r="K58" s="134">
        <f t="shared" si="54"/>
        <v>6.3310553682450533E-4</v>
      </c>
    </row>
    <row r="59" spans="1:11" x14ac:dyDescent="0.25">
      <c r="A59" s="139">
        <f t="shared" si="48"/>
        <v>-7.9299458550661296E-5</v>
      </c>
      <c r="B59" s="139">
        <f t="shared" si="49"/>
        <v>4.2119270186121481E-3</v>
      </c>
      <c r="C59" s="155">
        <f t="shared" si="50"/>
        <v>1.848261477067371E-3</v>
      </c>
      <c r="D59" s="156">
        <f t="shared" si="51"/>
        <v>1.2501972789150163E-3</v>
      </c>
      <c r="E59" s="50" t="s">
        <v>361</v>
      </c>
      <c r="F59" s="122">
        <f>F69/(F70+F71+F72+F73+F74+F75)</f>
        <v>1.15660981652355E-3</v>
      </c>
      <c r="G59" s="122">
        <f t="shared" ref="G59:K59" si="55">G69/(G70+G71+G72+G73+G74+G75)</f>
        <v>1.3437847413064828E-3</v>
      </c>
      <c r="H59" s="122">
        <f t="shared" si="55"/>
        <v>4.2119270186121481E-3</v>
      </c>
      <c r="I59" s="122">
        <f t="shared" si="55"/>
        <v>3.8238297114851273E-3</v>
      </c>
      <c r="J59" s="122">
        <f t="shared" si="55"/>
        <v>-7.9299458550661296E-5</v>
      </c>
      <c r="K59" s="134">
        <f t="shared" si="55"/>
        <v>6.3271703302757837E-4</v>
      </c>
    </row>
    <row r="60" spans="1:11" ht="26.4" x14ac:dyDescent="0.25">
      <c r="A60" s="139">
        <f t="shared" si="48"/>
        <v>7.5239733310586952E-5</v>
      </c>
      <c r="B60" s="139">
        <f t="shared" si="49"/>
        <v>7.1448515151990221E-3</v>
      </c>
      <c r="C60" s="160">
        <f t="shared" si="50"/>
        <v>3.0472379883117024E-3</v>
      </c>
      <c r="D60" s="160">
        <f t="shared" si="51"/>
        <v>3.0441295775004273E-3</v>
      </c>
      <c r="E60" s="50" t="s">
        <v>372</v>
      </c>
      <c r="F60" s="124">
        <f>F65/F79*100%</f>
        <v>4.800626910045974E-3</v>
      </c>
      <c r="G60" s="124">
        <f t="shared" ref="G60:K60" si="56">G65/G79*100%</f>
        <v>1.5989835146560463E-3</v>
      </c>
      <c r="H60" s="124">
        <f t="shared" si="56"/>
        <v>4.4892756403448085E-3</v>
      </c>
      <c r="I60" s="124">
        <f t="shared" si="56"/>
        <v>7.1448515151990221E-3</v>
      </c>
      <c r="J60" s="124">
        <f t="shared" si="56"/>
        <v>7.5239733310586952E-5</v>
      </c>
      <c r="K60" s="132">
        <f t="shared" si="56"/>
        <v>1.7445061631377235E-4</v>
      </c>
    </row>
    <row r="61" spans="1:11" x14ac:dyDescent="0.25">
      <c r="A61" s="139">
        <f t="shared" si="48"/>
        <v>-1.4814660620051967E-4</v>
      </c>
      <c r="B61" s="139">
        <f t="shared" si="49"/>
        <v>6.5862585234326343E-3</v>
      </c>
      <c r="C61" s="155">
        <f t="shared" si="50"/>
        <v>2.4653063632220332E-3</v>
      </c>
      <c r="D61" s="156">
        <f t="shared" si="51"/>
        <v>1.8447732221504864E-3</v>
      </c>
      <c r="E61" s="50" t="s">
        <v>373</v>
      </c>
      <c r="F61" s="122">
        <f>F69/F79</f>
        <v>2.1104905778518744E-3</v>
      </c>
      <c r="G61" s="122">
        <f t="shared" ref="G61:K61" si="57">G69/G79</f>
        <v>1.5790558664490982E-3</v>
      </c>
      <c r="H61" s="122">
        <f t="shared" si="57"/>
        <v>3.9948964058471393E-3</v>
      </c>
      <c r="I61" s="122">
        <f t="shared" si="57"/>
        <v>6.5862585234326343E-3</v>
      </c>
      <c r="J61" s="122">
        <f t="shared" si="57"/>
        <v>-1.4814660620051967E-4</v>
      </c>
      <c r="K61" s="134">
        <f t="shared" si="57"/>
        <v>6.6928341195197374E-4</v>
      </c>
    </row>
    <row r="62" spans="1:11" x14ac:dyDescent="0.25">
      <c r="A62" s="139">
        <f t="shared" si="48"/>
        <v>-4.0725227100333674</v>
      </c>
      <c r="B62" s="139">
        <f t="shared" si="49"/>
        <v>1.5881518050622958E-2</v>
      </c>
      <c r="C62" s="155">
        <f t="shared" si="50"/>
        <v>-1.4983348739659164</v>
      </c>
      <c r="D62" s="156">
        <f t="shared" si="51"/>
        <v>-1.3139254555912743</v>
      </c>
      <c r="E62" s="50" t="s">
        <v>374</v>
      </c>
      <c r="F62" s="122">
        <f>F69/F80</f>
        <v>4.8811184501924903E-3</v>
      </c>
      <c r="G62" s="122">
        <f>G66/G80</f>
        <v>-2.3103982590803978</v>
      </c>
      <c r="H62" s="122">
        <f>H66/H80</f>
        <v>-0.97624586279537651</v>
      </c>
      <c r="I62" s="122">
        <f>I66/I80</f>
        <v>-1.6516050483871723</v>
      </c>
      <c r="J62" s="122">
        <f>J66/J80</f>
        <v>-4.0725227100333674</v>
      </c>
      <c r="K62" s="134">
        <f>K66/K80</f>
        <v>1.5881518050622958E-2</v>
      </c>
    </row>
    <row r="63" spans="1:11" ht="13.8" thickBot="1" x14ac:dyDescent="0.3">
      <c r="A63" s="139">
        <f t="shared" si="48"/>
        <v>1.7750270881552023E-4</v>
      </c>
      <c r="B63" s="139">
        <f t="shared" si="49"/>
        <v>9.383228300518626E-3</v>
      </c>
      <c r="C63" s="155">
        <f t="shared" si="50"/>
        <v>4.8208735378882407E-3</v>
      </c>
      <c r="D63" s="156">
        <f t="shared" si="51"/>
        <v>5.1020050178454939E-3</v>
      </c>
      <c r="E63" s="51" t="s">
        <v>302</v>
      </c>
      <c r="F63" s="123">
        <f t="shared" ref="F63:K63" si="58">F65/(F80+F81)</f>
        <v>9.383228300518626E-3</v>
      </c>
      <c r="G63" s="123">
        <f t="shared" si="58"/>
        <v>2.5289436274314194E-3</v>
      </c>
      <c r="H63" s="123">
        <f t="shared" si="58"/>
        <v>7.675066408259568E-3</v>
      </c>
      <c r="I63" s="123">
        <f t="shared" si="58"/>
        <v>8.6020795640048397E-3</v>
      </c>
      <c r="J63" s="123">
        <f t="shared" si="58"/>
        <v>1.7750270881552023E-4</v>
      </c>
      <c r="K63" s="136">
        <f t="shared" si="58"/>
        <v>5.5842061829946643E-4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4846.71</v>
      </c>
      <c r="G65" s="76">
        <f t="shared" ref="G65:K65" si="59">G255</f>
        <v>1806.19</v>
      </c>
      <c r="H65" s="76">
        <f t="shared" si="59"/>
        <v>3318.88</v>
      </c>
      <c r="I65" s="76">
        <f t="shared" si="59"/>
        <v>4657.7700000000004</v>
      </c>
      <c r="J65" s="76">
        <f t="shared" si="59"/>
        <v>75.47</v>
      </c>
      <c r="K65" s="76">
        <f t="shared" si="59"/>
        <v>249.94</v>
      </c>
    </row>
    <row r="66" spans="5:12" ht="26.4" x14ac:dyDescent="0.25">
      <c r="E66" s="52" t="s">
        <v>352</v>
      </c>
      <c r="F66" s="76">
        <f>F245</f>
        <v>-964933.65</v>
      </c>
      <c r="G66" s="76">
        <f t="shared" ref="G66:K66" si="60">G245</f>
        <v>-1003191.79</v>
      </c>
      <c r="H66" s="76">
        <f t="shared" si="60"/>
        <v>-422151.77</v>
      </c>
      <c r="I66" s="76">
        <f t="shared" si="60"/>
        <v>-709315.2</v>
      </c>
      <c r="J66" s="76">
        <f t="shared" si="60"/>
        <v>-1731541.4</v>
      </c>
      <c r="K66" s="76">
        <f t="shared" si="60"/>
        <v>6754.81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2311.75</v>
      </c>
      <c r="G68" s="76">
        <f t="shared" ref="G68:K68" si="61">G275</f>
        <v>1783.68</v>
      </c>
      <c r="H68" s="76">
        <f t="shared" si="61"/>
        <v>2953.39</v>
      </c>
      <c r="I68" s="76">
        <f t="shared" si="61"/>
        <v>4293.62</v>
      </c>
      <c r="J68" s="76">
        <f t="shared" si="61"/>
        <v>-148.6</v>
      </c>
      <c r="K68" s="76">
        <f t="shared" si="61"/>
        <v>958.9</v>
      </c>
    </row>
    <row r="69" spans="5:12" x14ac:dyDescent="0.25">
      <c r="E69" s="43" t="s">
        <v>315</v>
      </c>
      <c r="F69" s="76">
        <f>F278</f>
        <v>2130.75</v>
      </c>
      <c r="G69" s="76">
        <f t="shared" ref="G69:K69" si="62">G278</f>
        <v>1783.68</v>
      </c>
      <c r="H69" s="76">
        <f t="shared" si="62"/>
        <v>2953.39</v>
      </c>
      <c r="I69" s="76">
        <f t="shared" si="62"/>
        <v>4293.62</v>
      </c>
      <c r="J69" s="76">
        <f t="shared" si="62"/>
        <v>-148.6</v>
      </c>
      <c r="K69" s="76">
        <f t="shared" si="62"/>
        <v>958.9</v>
      </c>
    </row>
    <row r="70" spans="5:12" x14ac:dyDescent="0.25">
      <c r="E70" s="43" t="s">
        <v>358</v>
      </c>
      <c r="F70" s="76">
        <f>F228</f>
        <v>870442.68</v>
      </c>
      <c r="G70" s="76">
        <f t="shared" ref="G70:K70" si="63">G228</f>
        <v>318464.59999999998</v>
      </c>
      <c r="H70" s="76">
        <f t="shared" si="63"/>
        <v>257212.95</v>
      </c>
      <c r="I70" s="76">
        <f t="shared" si="63"/>
        <v>405403.99</v>
      </c>
      <c r="J70" s="76">
        <f t="shared" si="63"/>
        <v>141898.71</v>
      </c>
      <c r="K70" s="76">
        <f t="shared" si="63"/>
        <v>1500751.14</v>
      </c>
    </row>
    <row r="71" spans="5:12" x14ac:dyDescent="0.25">
      <c r="E71" s="43" t="s">
        <v>359</v>
      </c>
      <c r="F71" s="76">
        <f>F246</f>
        <v>971794.84</v>
      </c>
      <c r="G71" s="76">
        <f t="shared" ref="G71:K71" si="64">G246</f>
        <v>1008890.85</v>
      </c>
      <c r="H71" s="76">
        <f t="shared" si="64"/>
        <v>443983.91</v>
      </c>
      <c r="I71" s="76">
        <f t="shared" si="64"/>
        <v>717426.26</v>
      </c>
      <c r="J71" s="76">
        <f t="shared" si="64"/>
        <v>1731710.68</v>
      </c>
      <c r="K71" s="76">
        <f t="shared" si="64"/>
        <v>13846.26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28.33</v>
      </c>
      <c r="J75" s="76">
        <f t="shared" si="65"/>
        <v>300</v>
      </c>
      <c r="K75" s="76">
        <f t="shared" si="65"/>
        <v>930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1009599.39</v>
      </c>
      <c r="G79" s="76">
        <f t="shared" ref="G79:K79" si="66">G171</f>
        <v>1129586.3799999999</v>
      </c>
      <c r="H79" s="76">
        <f t="shared" si="66"/>
        <v>739290.76</v>
      </c>
      <c r="I79" s="76">
        <f t="shared" si="66"/>
        <v>651905.78</v>
      </c>
      <c r="J79" s="76">
        <f t="shared" si="66"/>
        <v>1003060.44</v>
      </c>
      <c r="K79" s="76">
        <f t="shared" si="66"/>
        <v>1432726.38</v>
      </c>
    </row>
    <row r="80" spans="5:12" x14ac:dyDescent="0.25">
      <c r="E80" s="43" t="s">
        <v>311</v>
      </c>
      <c r="F80" s="76">
        <f>F172</f>
        <v>436529.05</v>
      </c>
      <c r="G80" s="76">
        <f t="shared" ref="G80:K80" si="67">G172</f>
        <v>434207.3</v>
      </c>
      <c r="H80" s="76">
        <f t="shared" si="67"/>
        <v>432423.62</v>
      </c>
      <c r="I80" s="76">
        <f t="shared" si="67"/>
        <v>429470.23</v>
      </c>
      <c r="J80" s="76">
        <f t="shared" si="67"/>
        <v>425176.61</v>
      </c>
      <c r="K80" s="76">
        <f t="shared" si="67"/>
        <v>425325.21</v>
      </c>
    </row>
    <row r="81" spans="5:12" x14ac:dyDescent="0.25">
      <c r="E81" s="43" t="s">
        <v>317</v>
      </c>
      <c r="F81" s="76">
        <f>F197+F210</f>
        <v>80000</v>
      </c>
      <c r="G81" s="76">
        <f t="shared" ref="G81:K81" si="68">G197+G210</f>
        <v>280000</v>
      </c>
      <c r="H81" s="76">
        <f t="shared" si="68"/>
        <v>0</v>
      </c>
      <c r="I81" s="76">
        <f t="shared" si="68"/>
        <v>112000</v>
      </c>
      <c r="J81" s="76">
        <f t="shared" si="68"/>
        <v>0</v>
      </c>
      <c r="K81" s="76">
        <f t="shared" si="68"/>
        <v>22258.55</v>
      </c>
    </row>
    <row r="82" spans="5:12" x14ac:dyDescent="0.25">
      <c r="F82" s="76"/>
      <c r="G82" s="76"/>
      <c r="H82" s="76"/>
      <c r="I82" s="76"/>
      <c r="J82" s="76"/>
      <c r="K82" s="76"/>
    </row>
    <row r="83" spans="5:12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5">
      <c r="E84" s="94" t="s">
        <v>102</v>
      </c>
      <c r="F84" s="97">
        <v>598982.67000000004</v>
      </c>
      <c r="G84" s="97">
        <v>536530.99</v>
      </c>
      <c r="H84" s="97">
        <v>402781.91</v>
      </c>
      <c r="I84" s="97">
        <v>436109.72</v>
      </c>
      <c r="J84" s="97">
        <v>458856.24</v>
      </c>
      <c r="K84" s="97">
        <v>438704.96</v>
      </c>
      <c r="L84" s="97"/>
    </row>
    <row r="85" spans="5:12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  <c r="L85" s="97"/>
    </row>
    <row r="86" spans="5:12" x14ac:dyDescent="0.25">
      <c r="E86" s="94" t="s">
        <v>104</v>
      </c>
      <c r="F86" s="97"/>
      <c r="G86" s="97"/>
      <c r="H86" s="97"/>
      <c r="I86" s="97"/>
      <c r="J86" s="97"/>
      <c r="K86" s="97"/>
      <c r="L86" s="97"/>
    </row>
    <row r="87" spans="5:12" x14ac:dyDescent="0.25">
      <c r="E87" s="94" t="s">
        <v>105</v>
      </c>
      <c r="F87" s="97"/>
      <c r="G87" s="97"/>
      <c r="H87" s="97"/>
      <c r="I87" s="97"/>
      <c r="J87" s="97"/>
      <c r="K87" s="97"/>
      <c r="L87" s="97"/>
    </row>
    <row r="88" spans="5:12" x14ac:dyDescent="0.25">
      <c r="E88" s="94" t="s">
        <v>106</v>
      </c>
      <c r="F88" s="97"/>
      <c r="G88" s="97"/>
      <c r="H88" s="97"/>
      <c r="I88" s="97"/>
      <c r="J88" s="97"/>
      <c r="K88" s="97"/>
      <c r="L88" s="97"/>
    </row>
    <row r="89" spans="5:12" x14ac:dyDescent="0.25">
      <c r="E89" s="94" t="s">
        <v>107</v>
      </c>
      <c r="F89" s="97"/>
      <c r="G89" s="97"/>
      <c r="H89" s="97"/>
      <c r="I89" s="97"/>
      <c r="J89" s="97"/>
      <c r="K89" s="97"/>
      <c r="L89" s="97"/>
    </row>
    <row r="90" spans="5:12" x14ac:dyDescent="0.25">
      <c r="E90" s="94" t="s">
        <v>108</v>
      </c>
      <c r="F90" s="97">
        <v>598982.67000000004</v>
      </c>
      <c r="G90" s="97">
        <v>536530.99</v>
      </c>
      <c r="H90" s="97">
        <v>402781.91</v>
      </c>
      <c r="I90" s="97">
        <v>436109.72</v>
      </c>
      <c r="J90" s="97">
        <v>458856.24</v>
      </c>
      <c r="K90" s="97">
        <v>438704.96</v>
      </c>
      <c r="L90" s="97"/>
    </row>
    <row r="91" spans="5:12" x14ac:dyDescent="0.25">
      <c r="E91" s="94" t="s">
        <v>109</v>
      </c>
      <c r="F91" s="97">
        <v>598982.67000000004</v>
      </c>
      <c r="G91" s="97">
        <v>536530.99</v>
      </c>
      <c r="H91" s="97">
        <v>402781.91</v>
      </c>
      <c r="I91" s="97">
        <v>423932.72</v>
      </c>
      <c r="J91" s="97">
        <v>446679.24</v>
      </c>
      <c r="K91" s="97">
        <v>426527.96</v>
      </c>
      <c r="L91" s="97"/>
    </row>
    <row r="92" spans="5:12" x14ac:dyDescent="0.25">
      <c r="E92" s="94" t="s">
        <v>110</v>
      </c>
      <c r="F92" s="97">
        <v>66824</v>
      </c>
      <c r="G92" s="97">
        <v>66824</v>
      </c>
      <c r="H92" s="97">
        <v>66824</v>
      </c>
      <c r="I92" s="97">
        <v>66824</v>
      </c>
      <c r="J92" s="97">
        <v>66824</v>
      </c>
      <c r="K92" s="97">
        <v>66824</v>
      </c>
      <c r="L92" s="97"/>
    </row>
    <row r="93" spans="5:12" x14ac:dyDescent="0.25">
      <c r="E93" s="94" t="s">
        <v>111</v>
      </c>
      <c r="F93" s="97">
        <v>286043.67</v>
      </c>
      <c r="G93" s="97">
        <v>295396.59000000003</v>
      </c>
      <c r="H93" s="97">
        <v>304749.51</v>
      </c>
      <c r="I93" s="97">
        <v>314102.43</v>
      </c>
      <c r="J93" s="97">
        <v>323455.34999999998</v>
      </c>
      <c r="K93" s="97">
        <v>332808.27</v>
      </c>
      <c r="L93" s="97"/>
    </row>
    <row r="94" spans="5:12" x14ac:dyDescent="0.25">
      <c r="E94" s="94" t="s">
        <v>112</v>
      </c>
      <c r="F94" s="97">
        <v>145069.6</v>
      </c>
      <c r="G94" s="97">
        <v>15154.4</v>
      </c>
      <c r="H94" s="97">
        <v>22238.400000000001</v>
      </c>
      <c r="I94" s="97">
        <v>31516.29</v>
      </c>
      <c r="J94" s="97">
        <v>42389.89</v>
      </c>
      <c r="K94" s="97">
        <v>9770.69</v>
      </c>
      <c r="L94" s="97"/>
    </row>
    <row r="95" spans="5:12" x14ac:dyDescent="0.25">
      <c r="E95" s="94" t="s">
        <v>113</v>
      </c>
      <c r="F95" s="97">
        <v>54330</v>
      </c>
      <c r="G95" s="97">
        <v>107250</v>
      </c>
      <c r="H95" s="97">
        <v>8970</v>
      </c>
      <c r="I95" s="97">
        <v>11490</v>
      </c>
      <c r="J95" s="97">
        <v>14010</v>
      </c>
      <c r="K95" s="97">
        <v>17125</v>
      </c>
      <c r="L95" s="97"/>
    </row>
    <row r="96" spans="5:12" x14ac:dyDescent="0.25">
      <c r="E96" s="94" t="s">
        <v>114</v>
      </c>
      <c r="F96" s="97">
        <v>46715.4</v>
      </c>
      <c r="G96" s="97">
        <v>51906</v>
      </c>
      <c r="H96" s="97"/>
      <c r="I96" s="97"/>
      <c r="J96" s="97"/>
      <c r="K96" s="97">
        <v>0</v>
      </c>
      <c r="L96" s="97"/>
    </row>
    <row r="97" spans="5:12" x14ac:dyDescent="0.25">
      <c r="E97" s="94" t="s">
        <v>115</v>
      </c>
      <c r="F97" s="97"/>
      <c r="G97" s="97"/>
      <c r="H97" s="97">
        <v>0</v>
      </c>
      <c r="I97" s="97">
        <v>12177</v>
      </c>
      <c r="J97" s="97">
        <v>12177</v>
      </c>
      <c r="K97" s="97">
        <v>12177</v>
      </c>
      <c r="L97" s="97"/>
    </row>
    <row r="98" spans="5:12" x14ac:dyDescent="0.25">
      <c r="E98" s="94" t="s">
        <v>116</v>
      </c>
      <c r="F98" s="97"/>
      <c r="G98" s="97"/>
      <c r="H98" s="97"/>
      <c r="I98" s="97"/>
      <c r="J98" s="97"/>
      <c r="K98" s="97"/>
      <c r="L98" s="97"/>
    </row>
    <row r="99" spans="5:12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  <c r="L99" s="97"/>
    </row>
    <row r="100" spans="5:12" x14ac:dyDescent="0.25">
      <c r="E100" s="94" t="s">
        <v>118</v>
      </c>
      <c r="F100" s="97"/>
      <c r="G100" s="97"/>
      <c r="H100" s="97"/>
      <c r="I100" s="97"/>
      <c r="J100" s="97"/>
      <c r="K100" s="97"/>
      <c r="L100" s="97"/>
    </row>
    <row r="101" spans="5:12" x14ac:dyDescent="0.25">
      <c r="E101" s="94" t="s">
        <v>119</v>
      </c>
      <c r="F101" s="97"/>
      <c r="G101" s="97"/>
      <c r="H101" s="97"/>
      <c r="I101" s="97"/>
      <c r="J101" s="97"/>
      <c r="K101" s="97"/>
      <c r="L101" s="97"/>
    </row>
    <row r="102" spans="5:12" x14ac:dyDescent="0.25">
      <c r="E102" s="94" t="s">
        <v>120</v>
      </c>
      <c r="F102" s="97"/>
      <c r="G102" s="97"/>
      <c r="H102" s="97"/>
      <c r="I102" s="97"/>
      <c r="J102" s="97"/>
      <c r="K102" s="97"/>
      <c r="L102" s="97"/>
    </row>
    <row r="103" spans="5:12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  <c r="L103" s="97"/>
    </row>
    <row r="104" spans="5:12" x14ac:dyDescent="0.25">
      <c r="E104" s="94" t="s">
        <v>122</v>
      </c>
      <c r="F104" s="97"/>
      <c r="G104" s="97"/>
      <c r="H104" s="97"/>
      <c r="I104" s="97"/>
      <c r="J104" s="97"/>
      <c r="K104" s="97"/>
      <c r="L104" s="97"/>
    </row>
    <row r="105" spans="5:12" x14ac:dyDescent="0.25">
      <c r="E105" s="94" t="s">
        <v>123</v>
      </c>
      <c r="F105" s="97"/>
      <c r="G105" s="97"/>
      <c r="H105" s="97"/>
      <c r="I105" s="97"/>
      <c r="J105" s="97"/>
      <c r="K105" s="97"/>
      <c r="L105" s="97"/>
    </row>
    <row r="106" spans="5:12" x14ac:dyDescent="0.25">
      <c r="E106" s="94" t="s">
        <v>124</v>
      </c>
      <c r="F106" s="97"/>
      <c r="G106" s="97"/>
      <c r="H106" s="97"/>
      <c r="I106" s="97"/>
      <c r="J106" s="97"/>
      <c r="K106" s="97"/>
      <c r="L106" s="97"/>
    </row>
    <row r="107" spans="5:12" x14ac:dyDescent="0.25">
      <c r="E107" s="94" t="s">
        <v>125</v>
      </c>
      <c r="F107" s="97"/>
      <c r="G107" s="97"/>
      <c r="H107" s="97"/>
      <c r="I107" s="97"/>
      <c r="J107" s="97"/>
      <c r="K107" s="97"/>
      <c r="L107" s="97"/>
    </row>
    <row r="108" spans="5:12" x14ac:dyDescent="0.25">
      <c r="E108" s="94" t="s">
        <v>126</v>
      </c>
      <c r="F108" s="97"/>
      <c r="G108" s="97"/>
      <c r="H108" s="97"/>
      <c r="I108" s="97"/>
      <c r="J108" s="97"/>
      <c r="K108" s="97"/>
      <c r="L108" s="97"/>
    </row>
    <row r="109" spans="5:12" ht="15" customHeight="1" x14ac:dyDescent="0.25">
      <c r="E109" s="94" t="s">
        <v>127</v>
      </c>
      <c r="F109" s="97"/>
      <c r="G109" s="97"/>
      <c r="H109" s="97"/>
      <c r="I109" s="97"/>
      <c r="J109" s="97"/>
      <c r="K109" s="97"/>
      <c r="L109" s="97"/>
    </row>
    <row r="110" spans="5:12" ht="15" customHeight="1" x14ac:dyDescent="0.25">
      <c r="E110" s="94" t="s">
        <v>128</v>
      </c>
      <c r="F110" s="97"/>
      <c r="G110" s="97"/>
      <c r="H110" s="97"/>
      <c r="I110" s="97"/>
      <c r="J110" s="97"/>
      <c r="K110" s="97"/>
      <c r="L110" s="97"/>
    </row>
    <row r="111" spans="5:12" ht="15" customHeight="1" x14ac:dyDescent="0.25">
      <c r="E111" s="94" t="s">
        <v>129</v>
      </c>
      <c r="F111" s="97"/>
      <c r="G111" s="97"/>
      <c r="H111" s="97"/>
      <c r="I111" s="97"/>
      <c r="J111" s="97"/>
      <c r="K111" s="97"/>
      <c r="L111" s="97"/>
    </row>
    <row r="112" spans="5:12" ht="15" customHeight="1" x14ac:dyDescent="0.25">
      <c r="E112" s="94" t="s">
        <v>130</v>
      </c>
      <c r="F112" s="97"/>
      <c r="G112" s="97"/>
      <c r="H112" s="97"/>
      <c r="I112" s="97"/>
      <c r="J112" s="97"/>
      <c r="K112" s="97"/>
      <c r="L112" s="97"/>
    </row>
    <row r="113" spans="5:12" ht="15" customHeight="1" x14ac:dyDescent="0.25">
      <c r="E113" s="94" t="s">
        <v>126</v>
      </c>
      <c r="F113" s="97"/>
      <c r="G113" s="97"/>
      <c r="H113" s="97"/>
      <c r="I113" s="97"/>
      <c r="J113" s="97"/>
      <c r="K113" s="97"/>
      <c r="L113" s="97"/>
    </row>
    <row r="114" spans="5:12" x14ac:dyDescent="0.25">
      <c r="E114" s="94" t="s">
        <v>127</v>
      </c>
      <c r="F114" s="97"/>
      <c r="G114" s="97"/>
      <c r="H114" s="97"/>
      <c r="I114" s="97"/>
      <c r="J114" s="97"/>
      <c r="K114" s="97"/>
      <c r="L114" s="97"/>
    </row>
    <row r="115" spans="5:12" x14ac:dyDescent="0.25">
      <c r="E115" s="94" t="s">
        <v>128</v>
      </c>
      <c r="F115" s="97"/>
      <c r="G115" s="97"/>
      <c r="H115" s="97"/>
      <c r="I115" s="97"/>
      <c r="J115" s="97"/>
      <c r="K115" s="97"/>
      <c r="L115" s="97"/>
    </row>
    <row r="116" spans="5:12" ht="15" customHeight="1" x14ac:dyDescent="0.25">
      <c r="E116" s="94" t="s">
        <v>129</v>
      </c>
      <c r="F116" s="97"/>
      <c r="G116" s="97"/>
      <c r="H116" s="97"/>
      <c r="I116" s="97"/>
      <c r="J116" s="97"/>
      <c r="K116" s="97"/>
      <c r="L116" s="97"/>
    </row>
    <row r="117" spans="5:12" ht="15" customHeight="1" x14ac:dyDescent="0.25">
      <c r="E117" s="94" t="s">
        <v>131</v>
      </c>
      <c r="F117" s="97"/>
      <c r="G117" s="97"/>
      <c r="H117" s="97"/>
      <c r="I117" s="97"/>
      <c r="J117" s="97"/>
      <c r="K117" s="97"/>
      <c r="L117" s="97"/>
    </row>
    <row r="118" spans="5:12" ht="15" customHeight="1" x14ac:dyDescent="0.25">
      <c r="E118" s="94" t="s">
        <v>126</v>
      </c>
      <c r="F118" s="97"/>
      <c r="G118" s="97"/>
      <c r="H118" s="97"/>
      <c r="I118" s="97"/>
      <c r="J118" s="97"/>
      <c r="K118" s="97"/>
      <c r="L118" s="97"/>
    </row>
    <row r="119" spans="5:12" ht="15" customHeight="1" x14ac:dyDescent="0.25">
      <c r="E119" s="94" t="s">
        <v>127</v>
      </c>
      <c r="F119" s="97"/>
      <c r="G119" s="97"/>
      <c r="H119" s="97"/>
      <c r="I119" s="97"/>
      <c r="J119" s="97"/>
      <c r="K119" s="97"/>
      <c r="L119" s="97"/>
    </row>
    <row r="120" spans="5:12" x14ac:dyDescent="0.25">
      <c r="E120" s="94" t="s">
        <v>128</v>
      </c>
      <c r="F120" s="97"/>
      <c r="G120" s="97"/>
      <c r="H120" s="97"/>
      <c r="I120" s="97"/>
      <c r="J120" s="97"/>
      <c r="K120" s="97"/>
      <c r="L120" s="97"/>
    </row>
    <row r="121" spans="5:12" x14ac:dyDescent="0.25">
      <c r="E121" s="94" t="s">
        <v>129</v>
      </c>
      <c r="F121" s="97"/>
      <c r="G121" s="97"/>
      <c r="H121" s="97"/>
      <c r="I121" s="97"/>
      <c r="J121" s="97"/>
      <c r="K121" s="97"/>
      <c r="L121" s="97"/>
    </row>
    <row r="122" spans="5:12" x14ac:dyDescent="0.25">
      <c r="E122" s="94" t="s">
        <v>132</v>
      </c>
      <c r="F122" s="97"/>
      <c r="G122" s="97"/>
      <c r="H122" s="97"/>
      <c r="I122" s="97"/>
      <c r="J122" s="97"/>
      <c r="K122" s="97"/>
      <c r="L122" s="97"/>
    </row>
    <row r="123" spans="5:12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  <c r="L123" s="97"/>
    </row>
    <row r="124" spans="5:12" x14ac:dyDescent="0.25">
      <c r="E124" s="94" t="s">
        <v>134</v>
      </c>
      <c r="F124" s="97"/>
      <c r="G124" s="97"/>
      <c r="H124" s="97"/>
      <c r="I124" s="97"/>
      <c r="J124" s="97"/>
      <c r="K124" s="97"/>
      <c r="L124" s="97"/>
    </row>
    <row r="125" spans="5:12" ht="15" customHeight="1" x14ac:dyDescent="0.25">
      <c r="E125" s="94" t="s">
        <v>135</v>
      </c>
      <c r="F125" s="97"/>
      <c r="G125" s="97"/>
      <c r="H125" s="97"/>
      <c r="I125" s="97"/>
      <c r="J125" s="97"/>
      <c r="K125" s="97"/>
      <c r="L125" s="97"/>
    </row>
    <row r="126" spans="5:12" x14ac:dyDescent="0.25">
      <c r="E126" s="94" t="s">
        <v>136</v>
      </c>
      <c r="F126" s="97">
        <v>410616.72</v>
      </c>
      <c r="G126" s="97">
        <v>593055.39</v>
      </c>
      <c r="H126" s="97">
        <v>336508.85</v>
      </c>
      <c r="I126" s="97">
        <v>215796.06</v>
      </c>
      <c r="J126" s="97">
        <v>544204.19999999995</v>
      </c>
      <c r="K126" s="97">
        <v>994021.42</v>
      </c>
      <c r="L126" s="97"/>
    </row>
    <row r="127" spans="5:12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  <c r="L127" s="97"/>
    </row>
    <row r="128" spans="5:12" ht="15" customHeight="1" x14ac:dyDescent="0.25">
      <c r="E128" s="94" t="s">
        <v>138</v>
      </c>
      <c r="F128" s="97"/>
      <c r="G128" s="97"/>
      <c r="H128" s="97"/>
      <c r="I128" s="97"/>
      <c r="J128" s="97"/>
      <c r="K128" s="97"/>
      <c r="L128" s="97"/>
    </row>
    <row r="129" spans="5:12" ht="15" customHeight="1" x14ac:dyDescent="0.25">
      <c r="E129" s="94" t="s">
        <v>139</v>
      </c>
      <c r="F129" s="97"/>
      <c r="G129" s="97"/>
      <c r="H129" s="97"/>
      <c r="I129" s="97"/>
      <c r="J129" s="97"/>
      <c r="K129" s="97"/>
      <c r="L129" s="97"/>
    </row>
    <row r="130" spans="5:12" ht="15" customHeight="1" x14ac:dyDescent="0.25">
      <c r="E130" s="94" t="s">
        <v>140</v>
      </c>
      <c r="F130" s="97"/>
      <c r="G130" s="97"/>
      <c r="H130" s="97"/>
      <c r="I130" s="97"/>
      <c r="J130" s="97"/>
      <c r="K130" s="97"/>
      <c r="L130" s="97"/>
    </row>
    <row r="131" spans="5:12" ht="15" customHeight="1" x14ac:dyDescent="0.25">
      <c r="E131" s="94" t="s">
        <v>141</v>
      </c>
      <c r="F131" s="97"/>
      <c r="G131" s="97"/>
      <c r="H131" s="97"/>
      <c r="I131" s="97"/>
      <c r="J131" s="97"/>
      <c r="K131" s="97"/>
      <c r="L131" s="97"/>
    </row>
    <row r="132" spans="5:12" x14ac:dyDescent="0.25">
      <c r="E132" s="94" t="s">
        <v>142</v>
      </c>
      <c r="F132" s="97"/>
      <c r="G132" s="97"/>
      <c r="H132" s="97"/>
      <c r="I132" s="97"/>
      <c r="J132" s="97"/>
      <c r="K132" s="97"/>
      <c r="L132" s="97"/>
    </row>
    <row r="133" spans="5:12" x14ac:dyDescent="0.25">
      <c r="E133" s="94" t="s">
        <v>143</v>
      </c>
      <c r="F133" s="97">
        <v>162297</v>
      </c>
      <c r="G133" s="97">
        <v>66925.31</v>
      </c>
      <c r="H133" s="97">
        <v>43512.17</v>
      </c>
      <c r="I133" s="97">
        <v>99188.89</v>
      </c>
      <c r="J133" s="97">
        <v>21540.53</v>
      </c>
      <c r="K133" s="97">
        <v>21454.23</v>
      </c>
      <c r="L133" s="97"/>
    </row>
    <row r="134" spans="5:12" x14ac:dyDescent="0.25">
      <c r="E134" s="94" t="s">
        <v>144</v>
      </c>
      <c r="F134" s="97"/>
      <c r="G134" s="97"/>
      <c r="H134" s="97"/>
      <c r="I134" s="97"/>
      <c r="J134" s="97"/>
      <c r="K134" s="97"/>
      <c r="L134" s="97"/>
    </row>
    <row r="135" spans="5:12" x14ac:dyDescent="0.25">
      <c r="E135" s="94" t="s">
        <v>145</v>
      </c>
      <c r="F135" s="97"/>
      <c r="G135" s="97"/>
      <c r="H135" s="97"/>
      <c r="I135" s="97"/>
      <c r="J135" s="97"/>
      <c r="K135" s="97"/>
      <c r="L135" s="97"/>
    </row>
    <row r="136" spans="5:12" x14ac:dyDescent="0.25">
      <c r="E136" s="94" t="s">
        <v>146</v>
      </c>
      <c r="F136" s="97"/>
      <c r="G136" s="97"/>
      <c r="H136" s="97"/>
      <c r="I136" s="97"/>
      <c r="J136" s="97"/>
      <c r="K136" s="97"/>
      <c r="L136" s="97"/>
    </row>
    <row r="137" spans="5:12" x14ac:dyDescent="0.25">
      <c r="E137" s="94" t="s">
        <v>147</v>
      </c>
      <c r="F137" s="97"/>
      <c r="G137" s="97"/>
      <c r="H137" s="97"/>
      <c r="I137" s="97"/>
      <c r="J137" s="97"/>
      <c r="K137" s="97"/>
      <c r="L137" s="97"/>
    </row>
    <row r="138" spans="5:12" x14ac:dyDescent="0.25">
      <c r="E138" s="94" t="s">
        <v>148</v>
      </c>
      <c r="F138" s="97"/>
      <c r="G138" s="97"/>
      <c r="H138" s="97"/>
      <c r="I138" s="97"/>
      <c r="J138" s="97"/>
      <c r="K138" s="97"/>
      <c r="L138" s="97"/>
    </row>
    <row r="139" spans="5:12" x14ac:dyDescent="0.25">
      <c r="E139" s="94" t="s">
        <v>149</v>
      </c>
      <c r="F139" s="97"/>
      <c r="G139" s="97"/>
      <c r="H139" s="97"/>
      <c r="I139" s="97"/>
      <c r="J139" s="97"/>
      <c r="K139" s="97"/>
      <c r="L139" s="97"/>
    </row>
    <row r="140" spans="5:12" x14ac:dyDescent="0.25">
      <c r="E140" s="94" t="s">
        <v>145</v>
      </c>
      <c r="F140" s="97"/>
      <c r="G140" s="97"/>
      <c r="H140" s="97"/>
      <c r="I140" s="97"/>
      <c r="J140" s="97"/>
      <c r="K140" s="97"/>
      <c r="L140" s="97"/>
    </row>
    <row r="141" spans="5:12" x14ac:dyDescent="0.25">
      <c r="E141" s="94" t="s">
        <v>146</v>
      </c>
      <c r="F141" s="97"/>
      <c r="G141" s="97"/>
      <c r="H141" s="97"/>
      <c r="I141" s="97"/>
      <c r="J141" s="97"/>
      <c r="K141" s="97"/>
      <c r="L141" s="97"/>
    </row>
    <row r="142" spans="5:12" x14ac:dyDescent="0.25">
      <c r="E142" s="94" t="s">
        <v>147</v>
      </c>
      <c r="F142" s="97"/>
      <c r="G142" s="97"/>
      <c r="H142" s="97"/>
      <c r="I142" s="97"/>
      <c r="J142" s="97"/>
      <c r="K142" s="97"/>
      <c r="L142" s="97"/>
    </row>
    <row r="143" spans="5:12" x14ac:dyDescent="0.25">
      <c r="E143" s="94" t="s">
        <v>148</v>
      </c>
      <c r="F143" s="97"/>
      <c r="G143" s="97"/>
      <c r="H143" s="97"/>
      <c r="I143" s="97"/>
      <c r="J143" s="97"/>
      <c r="K143" s="97"/>
      <c r="L143" s="97"/>
    </row>
    <row r="144" spans="5:12" x14ac:dyDescent="0.25">
      <c r="E144" s="94" t="s">
        <v>150</v>
      </c>
      <c r="F144" s="97">
        <v>162297</v>
      </c>
      <c r="G144" s="97">
        <v>66925.31</v>
      </c>
      <c r="H144" s="97">
        <v>43512.17</v>
      </c>
      <c r="I144" s="97">
        <v>99188.89</v>
      </c>
      <c r="J144" s="97">
        <v>21540.53</v>
      </c>
      <c r="K144" s="97">
        <v>21454.23</v>
      </c>
      <c r="L144" s="97"/>
    </row>
    <row r="145" spans="5:12" x14ac:dyDescent="0.25">
      <c r="E145" s="94" t="s">
        <v>145</v>
      </c>
      <c r="F145" s="97">
        <v>140939</v>
      </c>
      <c r="G145" s="97">
        <v>25669.94</v>
      </c>
      <c r="H145" s="97">
        <v>37352.82</v>
      </c>
      <c r="I145" s="97">
        <v>79667.83</v>
      </c>
      <c r="J145" s="97">
        <v>11555.1</v>
      </c>
      <c r="K145" s="97">
        <v>9639.26</v>
      </c>
      <c r="L145" s="97"/>
    </row>
    <row r="146" spans="5:12" x14ac:dyDescent="0.25">
      <c r="E146" s="94" t="s">
        <v>146</v>
      </c>
      <c r="F146" s="97"/>
      <c r="G146" s="97"/>
      <c r="H146" s="97">
        <v>0</v>
      </c>
      <c r="I146" s="97">
        <v>79667.83</v>
      </c>
      <c r="J146" s="97">
        <v>11555.1</v>
      </c>
      <c r="K146" s="97">
        <v>9639.26</v>
      </c>
      <c r="L146" s="97"/>
    </row>
    <row r="147" spans="5:12" x14ac:dyDescent="0.25">
      <c r="E147" s="94" t="s">
        <v>147</v>
      </c>
      <c r="F147" s="97">
        <v>140939</v>
      </c>
      <c r="G147" s="97">
        <v>25669.94</v>
      </c>
      <c r="H147" s="97">
        <v>37352.82</v>
      </c>
      <c r="I147" s="97"/>
      <c r="J147" s="97"/>
      <c r="K147" s="97"/>
      <c r="L147" s="97"/>
    </row>
    <row r="148" spans="5:12" x14ac:dyDescent="0.25">
      <c r="E148" s="94" t="s">
        <v>151</v>
      </c>
      <c r="F148" s="97">
        <v>18358</v>
      </c>
      <c r="G148" s="97">
        <v>38255.07</v>
      </c>
      <c r="H148" s="97">
        <v>3159.05</v>
      </c>
      <c r="I148" s="97">
        <v>4967.24</v>
      </c>
      <c r="J148" s="97">
        <v>345</v>
      </c>
      <c r="K148" s="97">
        <v>184</v>
      </c>
      <c r="L148" s="97"/>
    </row>
    <row r="149" spans="5:12" x14ac:dyDescent="0.25">
      <c r="E149" s="94" t="s">
        <v>152</v>
      </c>
      <c r="F149" s="97">
        <v>3000</v>
      </c>
      <c r="G149" s="97">
        <v>3000.3</v>
      </c>
      <c r="H149" s="97">
        <v>3000.3</v>
      </c>
      <c r="I149" s="97">
        <v>14553.82</v>
      </c>
      <c r="J149" s="97">
        <v>9640.43</v>
      </c>
      <c r="K149" s="97">
        <v>11630.97</v>
      </c>
      <c r="L149" s="97"/>
    </row>
    <row r="150" spans="5:12" x14ac:dyDescent="0.25">
      <c r="E150" s="94" t="s">
        <v>153</v>
      </c>
      <c r="F150" s="97"/>
      <c r="G150" s="97"/>
      <c r="H150" s="97"/>
      <c r="I150" s="97"/>
      <c r="J150" s="97"/>
      <c r="K150" s="97"/>
      <c r="L150" s="97"/>
    </row>
    <row r="151" spans="5:12" x14ac:dyDescent="0.25">
      <c r="E151" s="94" t="s">
        <v>154</v>
      </c>
      <c r="F151" s="97">
        <v>248319.72</v>
      </c>
      <c r="G151" s="97">
        <v>526130.07999999996</v>
      </c>
      <c r="H151" s="97">
        <v>292412.68</v>
      </c>
      <c r="I151" s="97">
        <v>115473.17</v>
      </c>
      <c r="J151" s="97">
        <v>521839.19</v>
      </c>
      <c r="K151" s="97">
        <v>972283.91</v>
      </c>
      <c r="L151" s="97"/>
    </row>
    <row r="152" spans="5:12" x14ac:dyDescent="0.25">
      <c r="E152" s="94" t="s">
        <v>155</v>
      </c>
      <c r="F152" s="97">
        <v>248319.72</v>
      </c>
      <c r="G152" s="97">
        <v>526130.07999999996</v>
      </c>
      <c r="H152" s="97">
        <v>292412.68</v>
      </c>
      <c r="I152" s="97">
        <v>115473.17</v>
      </c>
      <c r="J152" s="97">
        <v>521839.19</v>
      </c>
      <c r="K152" s="97">
        <v>972283.91</v>
      </c>
      <c r="L152" s="97"/>
    </row>
    <row r="153" spans="5:12" x14ac:dyDescent="0.25">
      <c r="E153" s="94" t="s">
        <v>125</v>
      </c>
      <c r="F153" s="97"/>
      <c r="G153" s="97"/>
      <c r="H153" s="97"/>
      <c r="I153" s="97"/>
      <c r="J153" s="97"/>
      <c r="K153" s="97"/>
      <c r="L153" s="97"/>
    </row>
    <row r="154" spans="5:12" x14ac:dyDescent="0.25">
      <c r="E154" s="94" t="s">
        <v>156</v>
      </c>
      <c r="F154" s="97"/>
      <c r="G154" s="97"/>
      <c r="H154" s="97"/>
      <c r="I154" s="97"/>
      <c r="J154" s="97"/>
      <c r="K154" s="97"/>
      <c r="L154" s="97"/>
    </row>
    <row r="155" spans="5:12" x14ac:dyDescent="0.25">
      <c r="E155" s="94" t="s">
        <v>157</v>
      </c>
      <c r="F155" s="97"/>
      <c r="G155" s="97"/>
      <c r="H155" s="97"/>
      <c r="I155" s="97"/>
      <c r="J155" s="97"/>
      <c r="K155" s="97"/>
      <c r="L155" s="97"/>
    </row>
    <row r="156" spans="5:12" x14ac:dyDescent="0.25">
      <c r="E156" s="94" t="s">
        <v>158</v>
      </c>
      <c r="F156" s="97"/>
      <c r="G156" s="97"/>
      <c r="H156" s="97"/>
      <c r="I156" s="97"/>
      <c r="J156" s="97"/>
      <c r="K156" s="97"/>
      <c r="L156" s="97"/>
    </row>
    <row r="157" spans="5:12" x14ac:dyDescent="0.25">
      <c r="E157" s="94" t="s">
        <v>159</v>
      </c>
      <c r="F157" s="97"/>
      <c r="G157" s="97"/>
      <c r="H157" s="97"/>
      <c r="I157" s="97"/>
      <c r="J157" s="97"/>
      <c r="K157" s="97"/>
      <c r="L157" s="97"/>
    </row>
    <row r="158" spans="5:12" x14ac:dyDescent="0.25">
      <c r="E158" s="94" t="s">
        <v>160</v>
      </c>
      <c r="F158" s="97"/>
      <c r="G158" s="97"/>
      <c r="H158" s="97"/>
      <c r="I158" s="97"/>
      <c r="J158" s="97"/>
      <c r="K158" s="97"/>
      <c r="L158" s="97"/>
    </row>
    <row r="159" spans="5:12" x14ac:dyDescent="0.25">
      <c r="E159" s="94" t="s">
        <v>156</v>
      </c>
      <c r="F159" s="97"/>
      <c r="G159" s="97"/>
      <c r="H159" s="97"/>
      <c r="I159" s="97"/>
      <c r="J159" s="97"/>
      <c r="K159" s="97"/>
      <c r="L159" s="97"/>
    </row>
    <row r="160" spans="5:12" x14ac:dyDescent="0.25">
      <c r="E160" s="94" t="s">
        <v>157</v>
      </c>
      <c r="F160" s="97"/>
      <c r="G160" s="97"/>
      <c r="H160" s="97"/>
      <c r="I160" s="97"/>
      <c r="J160" s="97"/>
      <c r="K160" s="97"/>
      <c r="L160" s="97"/>
    </row>
    <row r="161" spans="5:12" x14ac:dyDescent="0.25">
      <c r="E161" s="94" t="s">
        <v>158</v>
      </c>
      <c r="F161" s="97"/>
      <c r="G161" s="97"/>
      <c r="H161" s="97"/>
      <c r="I161" s="97"/>
      <c r="J161" s="97"/>
      <c r="K161" s="97"/>
      <c r="L161" s="97"/>
    </row>
    <row r="162" spans="5:12" x14ac:dyDescent="0.25">
      <c r="E162" s="94" t="s">
        <v>159</v>
      </c>
      <c r="F162" s="97"/>
      <c r="G162" s="97"/>
      <c r="H162" s="97"/>
      <c r="I162" s="97"/>
      <c r="J162" s="97"/>
      <c r="K162" s="97"/>
      <c r="L162" s="97"/>
    </row>
    <row r="163" spans="5:12" x14ac:dyDescent="0.25">
      <c r="E163" s="94" t="s">
        <v>161</v>
      </c>
      <c r="F163" s="97">
        <v>248319.72</v>
      </c>
      <c r="G163" s="97">
        <v>526130.07999999996</v>
      </c>
      <c r="H163" s="97">
        <v>292412.68</v>
      </c>
      <c r="I163" s="97">
        <v>115473.17</v>
      </c>
      <c r="J163" s="97">
        <v>521839.19</v>
      </c>
      <c r="K163" s="97">
        <v>972283.91</v>
      </c>
      <c r="L163" s="97"/>
    </row>
    <row r="164" spans="5:12" x14ac:dyDescent="0.25">
      <c r="E164" s="94" t="s">
        <v>162</v>
      </c>
      <c r="F164" s="97">
        <v>183286.72</v>
      </c>
      <c r="G164" s="97">
        <v>242297.88</v>
      </c>
      <c r="H164" s="97">
        <v>42427.68</v>
      </c>
      <c r="I164" s="97">
        <v>115473.17</v>
      </c>
      <c r="J164" s="97">
        <v>521839.19</v>
      </c>
      <c r="K164" s="97">
        <v>972283.91</v>
      </c>
      <c r="L164" s="97"/>
    </row>
    <row r="165" spans="5:12" x14ac:dyDescent="0.25">
      <c r="E165" s="94" t="s">
        <v>163</v>
      </c>
      <c r="F165" s="97">
        <v>0</v>
      </c>
      <c r="G165" s="97">
        <v>283832.2</v>
      </c>
      <c r="H165" s="97">
        <v>249985</v>
      </c>
      <c r="I165" s="97"/>
      <c r="J165" s="97"/>
      <c r="K165" s="97"/>
      <c r="L165" s="97"/>
    </row>
    <row r="166" spans="5:12" x14ac:dyDescent="0.25">
      <c r="E166" s="94" t="s">
        <v>164</v>
      </c>
      <c r="F166" s="97">
        <v>65033</v>
      </c>
      <c r="G166" s="97"/>
      <c r="H166" s="97"/>
      <c r="I166" s="97"/>
      <c r="J166" s="97"/>
      <c r="K166" s="97"/>
      <c r="L166" s="97"/>
    </row>
    <row r="167" spans="5:12" x14ac:dyDescent="0.25">
      <c r="E167" s="94" t="s">
        <v>165</v>
      </c>
      <c r="F167" s="97"/>
      <c r="G167" s="97"/>
      <c r="H167" s="97"/>
      <c r="I167" s="97"/>
      <c r="J167" s="97"/>
      <c r="K167" s="97"/>
      <c r="L167" s="97"/>
    </row>
    <row r="168" spans="5:12" x14ac:dyDescent="0.25">
      <c r="E168" s="94" t="s">
        <v>166</v>
      </c>
      <c r="F168" s="97"/>
      <c r="G168" s="97">
        <v>0</v>
      </c>
      <c r="H168" s="97">
        <v>584</v>
      </c>
      <c r="I168" s="97">
        <v>1134</v>
      </c>
      <c r="J168" s="97">
        <v>824.48</v>
      </c>
      <c r="K168" s="97">
        <v>283.27999999999997</v>
      </c>
      <c r="L168" s="97"/>
    </row>
    <row r="169" spans="5:12" x14ac:dyDescent="0.25">
      <c r="E169" s="94" t="s">
        <v>167</v>
      </c>
      <c r="F169" s="97"/>
      <c r="G169" s="97"/>
      <c r="H169" s="97"/>
      <c r="I169" s="97"/>
      <c r="J169" s="97"/>
      <c r="K169" s="97"/>
      <c r="L169" s="97"/>
    </row>
    <row r="170" spans="5:12" x14ac:dyDescent="0.25">
      <c r="E170" s="94" t="s">
        <v>168</v>
      </c>
      <c r="F170" s="97"/>
      <c r="G170" s="97"/>
      <c r="H170" s="97"/>
      <c r="I170" s="97"/>
      <c r="J170" s="97"/>
      <c r="K170" s="97"/>
      <c r="L170" s="97"/>
    </row>
    <row r="171" spans="5:12" x14ac:dyDescent="0.25">
      <c r="E171" s="94" t="s">
        <v>169</v>
      </c>
      <c r="F171" s="97">
        <v>1009599.39</v>
      </c>
      <c r="G171" s="97">
        <v>1129586.3799999999</v>
      </c>
      <c r="H171" s="97">
        <v>739290.76</v>
      </c>
      <c r="I171" s="97">
        <v>651905.78</v>
      </c>
      <c r="J171" s="97">
        <v>1003060.44</v>
      </c>
      <c r="K171" s="97">
        <v>1432726.38</v>
      </c>
      <c r="L171" s="97"/>
    </row>
    <row r="172" spans="5:12" x14ac:dyDescent="0.25">
      <c r="E172" s="94" t="s">
        <v>170</v>
      </c>
      <c r="F172" s="97">
        <v>436529.05</v>
      </c>
      <c r="G172" s="97">
        <v>434207.3</v>
      </c>
      <c r="H172" s="97">
        <v>432423.62</v>
      </c>
      <c r="I172" s="97">
        <v>429470.23</v>
      </c>
      <c r="J172" s="97">
        <v>425176.61</v>
      </c>
      <c r="K172" s="97">
        <v>425325.21</v>
      </c>
      <c r="L172" s="97"/>
    </row>
    <row r="173" spans="5:12" x14ac:dyDescent="0.25">
      <c r="E173" s="94" t="s">
        <v>171</v>
      </c>
      <c r="F173" s="97">
        <v>2000</v>
      </c>
      <c r="G173" s="97">
        <v>2000</v>
      </c>
      <c r="H173" s="97">
        <v>2000</v>
      </c>
      <c r="I173" s="97">
        <v>2000</v>
      </c>
      <c r="J173" s="97">
        <v>2000</v>
      </c>
      <c r="K173" s="97">
        <v>2000</v>
      </c>
      <c r="L173" s="97"/>
    </row>
    <row r="174" spans="5:12" x14ac:dyDescent="0.25">
      <c r="E174" s="94" t="s">
        <v>172</v>
      </c>
      <c r="F174" s="97">
        <v>443102.06</v>
      </c>
      <c r="G174" s="97">
        <v>442384.59</v>
      </c>
      <c r="H174" s="97">
        <v>441203.23</v>
      </c>
      <c r="I174" s="97">
        <v>439485.78</v>
      </c>
      <c r="J174" s="97">
        <v>439485.78</v>
      </c>
      <c r="K174" s="97">
        <v>422366.31</v>
      </c>
      <c r="L174" s="97"/>
    </row>
    <row r="175" spans="5:12" x14ac:dyDescent="0.25">
      <c r="E175" s="94" t="s">
        <v>173</v>
      </c>
      <c r="F175" s="97"/>
      <c r="G175" s="97"/>
      <c r="H175" s="97"/>
      <c r="I175" s="97"/>
      <c r="J175" s="97"/>
      <c r="K175" s="97"/>
      <c r="L175" s="97"/>
    </row>
    <row r="176" spans="5:12" x14ac:dyDescent="0.25">
      <c r="E176" s="94" t="s">
        <v>174</v>
      </c>
      <c r="F176" s="97"/>
      <c r="G176" s="97"/>
      <c r="H176" s="97"/>
      <c r="I176" s="97"/>
      <c r="J176" s="97"/>
      <c r="K176" s="97"/>
      <c r="L176" s="97"/>
    </row>
    <row r="177" spans="5:12" x14ac:dyDescent="0.25">
      <c r="E177" s="94" t="s">
        <v>175</v>
      </c>
      <c r="F177" s="97"/>
      <c r="G177" s="97"/>
      <c r="H177" s="97"/>
      <c r="I177" s="97"/>
      <c r="J177" s="97"/>
      <c r="K177" s="97"/>
      <c r="L177" s="97"/>
    </row>
    <row r="178" spans="5:12" x14ac:dyDescent="0.25">
      <c r="E178" s="94" t="s">
        <v>176</v>
      </c>
      <c r="F178" s="97">
        <v>2576.17</v>
      </c>
      <c r="G178" s="97">
        <v>2576.17</v>
      </c>
      <c r="H178" s="97">
        <v>2576.17</v>
      </c>
      <c r="I178" s="97"/>
      <c r="J178" s="97"/>
      <c r="K178" s="97"/>
      <c r="L178" s="97"/>
    </row>
    <row r="179" spans="5:12" x14ac:dyDescent="0.25">
      <c r="E179" s="94" t="s">
        <v>177</v>
      </c>
      <c r="F179" s="97"/>
      <c r="G179" s="97">
        <v>2576.17</v>
      </c>
      <c r="H179" s="97">
        <v>2576.17</v>
      </c>
      <c r="I179" s="97"/>
      <c r="J179" s="97"/>
      <c r="K179" s="97"/>
      <c r="L179" s="97"/>
    </row>
    <row r="180" spans="5:12" x14ac:dyDescent="0.25">
      <c r="E180" s="94" t="s">
        <v>178</v>
      </c>
      <c r="F180" s="97"/>
      <c r="G180" s="97"/>
      <c r="H180" s="97"/>
      <c r="I180" s="97"/>
      <c r="J180" s="97"/>
      <c r="K180" s="97"/>
      <c r="L180" s="97"/>
    </row>
    <row r="181" spans="5:12" x14ac:dyDescent="0.25">
      <c r="E181" s="94" t="s">
        <v>179</v>
      </c>
      <c r="F181" s="97">
        <v>-13460.93</v>
      </c>
      <c r="G181" s="97">
        <v>-14537.14</v>
      </c>
      <c r="H181" s="97">
        <v>-16309.17</v>
      </c>
      <c r="I181" s="97">
        <v>-16309.17</v>
      </c>
      <c r="J181" s="97">
        <v>-16160.57</v>
      </c>
      <c r="K181" s="97"/>
      <c r="L181" s="97"/>
    </row>
    <row r="182" spans="5:12" x14ac:dyDescent="0.25">
      <c r="E182" s="94" t="s">
        <v>180</v>
      </c>
      <c r="F182" s="97">
        <v>2311.75</v>
      </c>
      <c r="G182" s="97">
        <v>1783.68</v>
      </c>
      <c r="H182" s="97">
        <v>2953.39</v>
      </c>
      <c r="I182" s="97">
        <v>4293.62</v>
      </c>
      <c r="J182" s="97">
        <v>-148.6</v>
      </c>
      <c r="K182" s="97">
        <v>958.9</v>
      </c>
      <c r="L182" s="97"/>
    </row>
    <row r="183" spans="5:12" x14ac:dyDescent="0.25">
      <c r="E183" s="94" t="s">
        <v>181</v>
      </c>
      <c r="F183" s="97"/>
      <c r="G183" s="97"/>
      <c r="H183" s="97"/>
      <c r="I183" s="97"/>
      <c r="J183" s="97"/>
      <c r="K183" s="97"/>
      <c r="L183" s="97"/>
    </row>
    <row r="184" spans="5:12" x14ac:dyDescent="0.25">
      <c r="E184" s="94" t="s">
        <v>182</v>
      </c>
      <c r="F184" s="97">
        <v>573070.34</v>
      </c>
      <c r="G184" s="97">
        <v>695379.08</v>
      </c>
      <c r="H184" s="97">
        <v>306867.14</v>
      </c>
      <c r="I184" s="97">
        <v>222435.55</v>
      </c>
      <c r="J184" s="97">
        <v>577883.82999999996</v>
      </c>
      <c r="K184" s="97">
        <v>1007401.17</v>
      </c>
      <c r="L184" s="97"/>
    </row>
    <row r="185" spans="5:12" x14ac:dyDescent="0.25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/>
      <c r="K185" s="97"/>
      <c r="L185" s="97"/>
    </row>
    <row r="186" spans="5:12" x14ac:dyDescent="0.25">
      <c r="E186" s="94" t="s">
        <v>184</v>
      </c>
      <c r="F186" s="97"/>
      <c r="G186" s="97"/>
      <c r="H186" s="97"/>
      <c r="I186" s="97"/>
      <c r="J186" s="97"/>
      <c r="K186" s="97"/>
      <c r="L186" s="97"/>
    </row>
    <row r="187" spans="5:12" x14ac:dyDescent="0.25">
      <c r="E187" s="94" t="s">
        <v>185</v>
      </c>
      <c r="F187" s="97"/>
      <c r="G187" s="97"/>
      <c r="H187" s="97"/>
      <c r="I187" s="97"/>
      <c r="J187" s="97"/>
      <c r="K187" s="97"/>
      <c r="L187" s="97"/>
    </row>
    <row r="188" spans="5:12" x14ac:dyDescent="0.25">
      <c r="E188" s="94" t="s">
        <v>186</v>
      </c>
      <c r="F188" s="97"/>
      <c r="G188" s="97"/>
      <c r="H188" s="97"/>
      <c r="I188" s="97"/>
      <c r="J188" s="97"/>
      <c r="K188" s="97"/>
      <c r="L188" s="97"/>
    </row>
    <row r="189" spans="5:12" x14ac:dyDescent="0.25">
      <c r="E189" s="94" t="s">
        <v>187</v>
      </c>
      <c r="F189" s="97"/>
      <c r="G189" s="97"/>
      <c r="H189" s="97"/>
      <c r="I189" s="97"/>
      <c r="J189" s="97"/>
      <c r="K189" s="97"/>
      <c r="L189" s="97"/>
    </row>
    <row r="190" spans="5:12" x14ac:dyDescent="0.25">
      <c r="E190" s="94" t="s">
        <v>188</v>
      </c>
      <c r="F190" s="97"/>
      <c r="G190" s="97"/>
      <c r="H190" s="97"/>
      <c r="I190" s="97"/>
      <c r="J190" s="97"/>
      <c r="K190" s="97"/>
      <c r="L190" s="97"/>
    </row>
    <row r="191" spans="5:12" x14ac:dyDescent="0.25">
      <c r="E191" s="94" t="s">
        <v>186</v>
      </c>
      <c r="F191" s="97"/>
      <c r="G191" s="97"/>
      <c r="H191" s="97"/>
      <c r="I191" s="97"/>
      <c r="J191" s="97"/>
      <c r="K191" s="97"/>
      <c r="L191" s="97"/>
    </row>
    <row r="192" spans="5:12" x14ac:dyDescent="0.25">
      <c r="E192" s="94" t="s">
        <v>187</v>
      </c>
      <c r="F192" s="97"/>
      <c r="G192" s="97"/>
      <c r="H192" s="97"/>
      <c r="I192" s="97"/>
      <c r="J192" s="97"/>
      <c r="K192" s="97"/>
      <c r="L192" s="97"/>
    </row>
    <row r="193" spans="5:12" x14ac:dyDescent="0.25">
      <c r="E193" s="94" t="s">
        <v>189</v>
      </c>
      <c r="F193" s="97">
        <v>171428.6</v>
      </c>
      <c r="G193" s="97">
        <v>280000</v>
      </c>
      <c r="H193" s="97">
        <v>0</v>
      </c>
      <c r="I193" s="97">
        <v>112000</v>
      </c>
      <c r="J193" s="97">
        <v>0</v>
      </c>
      <c r="K193" s="97">
        <v>0</v>
      </c>
      <c r="L193" s="97"/>
    </row>
    <row r="194" spans="5:12" x14ac:dyDescent="0.25">
      <c r="E194" s="94" t="s">
        <v>190</v>
      </c>
      <c r="F194" s="97"/>
      <c r="G194" s="97"/>
      <c r="H194" s="97"/>
      <c r="I194" s="97"/>
      <c r="J194" s="97"/>
      <c r="K194" s="97"/>
      <c r="L194" s="97"/>
    </row>
    <row r="195" spans="5:12" x14ac:dyDescent="0.25">
      <c r="E195" s="94" t="s">
        <v>191</v>
      </c>
      <c r="F195" s="97">
        <v>91428.6</v>
      </c>
      <c r="G195" s="97"/>
      <c r="H195" s="97"/>
      <c r="I195" s="97"/>
      <c r="J195" s="97"/>
      <c r="K195" s="97"/>
      <c r="L195" s="97"/>
    </row>
    <row r="196" spans="5:12" x14ac:dyDescent="0.25">
      <c r="E196" s="94" t="s">
        <v>192</v>
      </c>
      <c r="F196" s="97">
        <v>80000</v>
      </c>
      <c r="G196" s="97">
        <v>280000</v>
      </c>
      <c r="H196" s="97">
        <v>0</v>
      </c>
      <c r="I196" s="97">
        <v>112000</v>
      </c>
      <c r="J196" s="97">
        <v>0</v>
      </c>
      <c r="K196" s="97">
        <v>0</v>
      </c>
      <c r="L196" s="97"/>
    </row>
    <row r="197" spans="5:12" x14ac:dyDescent="0.25">
      <c r="E197" s="94" t="s">
        <v>193</v>
      </c>
      <c r="F197" s="97">
        <v>80000</v>
      </c>
      <c r="G197" s="97">
        <v>280000</v>
      </c>
      <c r="H197" s="97">
        <v>0</v>
      </c>
      <c r="I197" s="97">
        <v>112000</v>
      </c>
      <c r="J197" s="97">
        <v>0</v>
      </c>
      <c r="K197" s="97">
        <v>0</v>
      </c>
      <c r="L197" s="97"/>
    </row>
    <row r="198" spans="5:12" x14ac:dyDescent="0.25">
      <c r="E198" s="94" t="s">
        <v>194</v>
      </c>
      <c r="F198" s="97"/>
      <c r="G198" s="97"/>
      <c r="H198" s="97"/>
      <c r="I198" s="97"/>
      <c r="J198" s="97"/>
      <c r="K198" s="97"/>
      <c r="L198" s="97"/>
    </row>
    <row r="199" spans="5:12" x14ac:dyDescent="0.25">
      <c r="E199" s="94" t="s">
        <v>195</v>
      </c>
      <c r="F199" s="97"/>
      <c r="G199" s="97"/>
      <c r="H199" s="97"/>
      <c r="I199" s="97"/>
      <c r="J199" s="97"/>
      <c r="K199" s="97"/>
      <c r="L199" s="97"/>
    </row>
    <row r="200" spans="5:12" x14ac:dyDescent="0.25">
      <c r="E200" s="94" t="s">
        <v>196</v>
      </c>
      <c r="F200" s="97"/>
      <c r="G200" s="97"/>
      <c r="H200" s="97"/>
      <c r="I200" s="97"/>
      <c r="J200" s="97"/>
      <c r="K200" s="97"/>
      <c r="L200" s="97"/>
    </row>
    <row r="201" spans="5:12" x14ac:dyDescent="0.25">
      <c r="E201" s="94" t="s">
        <v>197</v>
      </c>
      <c r="F201" s="97"/>
      <c r="G201" s="97"/>
      <c r="H201" s="97"/>
      <c r="I201" s="97"/>
      <c r="J201" s="97"/>
      <c r="K201" s="97"/>
      <c r="L201" s="97"/>
    </row>
    <row r="202" spans="5:12" x14ac:dyDescent="0.25">
      <c r="E202" s="94" t="s">
        <v>198</v>
      </c>
      <c r="F202" s="97">
        <v>217735.52</v>
      </c>
      <c r="G202" s="97">
        <v>119321.88</v>
      </c>
      <c r="H202" s="97">
        <v>17422.14</v>
      </c>
      <c r="I202" s="97">
        <v>54770.55</v>
      </c>
      <c r="J202" s="97">
        <v>30744.34</v>
      </c>
      <c r="K202" s="97">
        <v>46265.8</v>
      </c>
      <c r="L202" s="97"/>
    </row>
    <row r="203" spans="5:12" x14ac:dyDescent="0.25">
      <c r="E203" s="94" t="s">
        <v>190</v>
      </c>
      <c r="F203" s="97">
        <v>173796.76</v>
      </c>
      <c r="G203" s="97">
        <v>81438.52</v>
      </c>
      <c r="H203" s="97">
        <v>769.15</v>
      </c>
      <c r="I203" s="97"/>
      <c r="J203" s="97"/>
      <c r="K203" s="97"/>
      <c r="L203" s="97"/>
    </row>
    <row r="204" spans="5:12" x14ac:dyDescent="0.25">
      <c r="E204" s="94" t="s">
        <v>199</v>
      </c>
      <c r="F204" s="97"/>
      <c r="G204" s="97"/>
      <c r="H204" s="97"/>
      <c r="I204" s="97"/>
      <c r="J204" s="97"/>
      <c r="K204" s="97"/>
      <c r="L204" s="97"/>
    </row>
    <row r="205" spans="5:12" x14ac:dyDescent="0.25">
      <c r="E205" s="94" t="s">
        <v>200</v>
      </c>
      <c r="F205" s="97"/>
      <c r="G205" s="97"/>
      <c r="H205" s="97"/>
      <c r="I205" s="97"/>
      <c r="J205" s="97"/>
      <c r="K205" s="97"/>
      <c r="L205" s="97"/>
    </row>
    <row r="206" spans="5:12" x14ac:dyDescent="0.25">
      <c r="E206" s="94" t="s">
        <v>146</v>
      </c>
      <c r="F206" s="97"/>
      <c r="G206" s="97"/>
      <c r="H206" s="97"/>
      <c r="I206" s="97"/>
      <c r="J206" s="97"/>
      <c r="K206" s="97"/>
      <c r="L206" s="97"/>
    </row>
    <row r="207" spans="5:12" x14ac:dyDescent="0.25">
      <c r="E207" s="94" t="s">
        <v>147</v>
      </c>
      <c r="F207" s="97"/>
      <c r="G207" s="97"/>
      <c r="H207" s="97"/>
      <c r="I207" s="97"/>
      <c r="J207" s="97"/>
      <c r="K207" s="97"/>
      <c r="L207" s="97"/>
    </row>
    <row r="208" spans="5:12" x14ac:dyDescent="0.25">
      <c r="E208" s="94" t="s">
        <v>148</v>
      </c>
      <c r="F208" s="97"/>
      <c r="G208" s="97"/>
      <c r="H208" s="97"/>
      <c r="I208" s="97"/>
      <c r="J208" s="97"/>
      <c r="K208" s="97"/>
      <c r="L208" s="97"/>
    </row>
    <row r="209" spans="5:12" x14ac:dyDescent="0.25">
      <c r="E209" s="94" t="s">
        <v>192</v>
      </c>
      <c r="F209" s="97">
        <v>43938.76</v>
      </c>
      <c r="G209" s="97">
        <v>37883.360000000001</v>
      </c>
      <c r="H209" s="97">
        <v>16652.990000000002</v>
      </c>
      <c r="I209" s="97">
        <v>54770.55</v>
      </c>
      <c r="J209" s="97">
        <v>30744.34</v>
      </c>
      <c r="K209" s="97">
        <v>46265.8</v>
      </c>
      <c r="L209" s="97"/>
    </row>
    <row r="210" spans="5:12" x14ac:dyDescent="0.25">
      <c r="E210" s="94" t="s">
        <v>193</v>
      </c>
      <c r="F210" s="97"/>
      <c r="G210" s="97"/>
      <c r="H210" s="97"/>
      <c r="I210" s="97"/>
      <c r="J210" s="97"/>
      <c r="K210" s="97">
        <v>22258.55</v>
      </c>
      <c r="L210" s="97"/>
    </row>
    <row r="211" spans="5:12" x14ac:dyDescent="0.25">
      <c r="E211" s="94" t="s">
        <v>194</v>
      </c>
      <c r="F211" s="97"/>
      <c r="G211" s="97"/>
      <c r="H211" s="97"/>
      <c r="I211" s="97"/>
      <c r="J211" s="97"/>
      <c r="K211" s="97"/>
      <c r="L211" s="97"/>
    </row>
    <row r="212" spans="5:12" x14ac:dyDescent="0.25">
      <c r="E212" s="94" t="s">
        <v>195</v>
      </c>
      <c r="F212" s="97"/>
      <c r="G212" s="97"/>
      <c r="H212" s="97"/>
      <c r="I212" s="97"/>
      <c r="J212" s="97"/>
      <c r="K212" s="97"/>
      <c r="L212" s="97"/>
    </row>
    <row r="213" spans="5:12" x14ac:dyDescent="0.25">
      <c r="E213" s="94" t="s">
        <v>201</v>
      </c>
      <c r="F213" s="97">
        <v>1246.74</v>
      </c>
      <c r="G213" s="97">
        <v>1297.75</v>
      </c>
      <c r="H213" s="97">
        <v>764</v>
      </c>
      <c r="I213" s="97">
        <v>42439.49</v>
      </c>
      <c r="J213" s="97">
        <v>10245.81</v>
      </c>
      <c r="K213" s="97">
        <v>5479.03</v>
      </c>
      <c r="L213" s="97"/>
    </row>
    <row r="214" spans="5:12" x14ac:dyDescent="0.25">
      <c r="E214" s="94" t="s">
        <v>146</v>
      </c>
      <c r="F214" s="97">
        <v>1246.74</v>
      </c>
      <c r="G214" s="97">
        <v>1297.75</v>
      </c>
      <c r="H214" s="97">
        <v>764</v>
      </c>
      <c r="I214" s="97">
        <v>42439.49</v>
      </c>
      <c r="J214" s="97">
        <v>10245.81</v>
      </c>
      <c r="K214" s="97">
        <v>5479.03</v>
      </c>
      <c r="L214" s="97"/>
    </row>
    <row r="215" spans="5:12" x14ac:dyDescent="0.25">
      <c r="E215" s="94" t="s">
        <v>147</v>
      </c>
      <c r="F215" s="97"/>
      <c r="G215" s="97"/>
      <c r="H215" s="97"/>
      <c r="I215" s="97"/>
      <c r="J215" s="97"/>
      <c r="K215" s="97"/>
      <c r="L215" s="97"/>
    </row>
    <row r="216" spans="5:12" x14ac:dyDescent="0.25">
      <c r="E216" s="94" t="s">
        <v>202</v>
      </c>
      <c r="F216" s="97"/>
      <c r="G216" s="97"/>
      <c r="H216" s="97"/>
      <c r="I216" s="97"/>
      <c r="J216" s="97"/>
      <c r="K216" s="97"/>
      <c r="L216" s="97"/>
    </row>
    <row r="217" spans="5:12" x14ac:dyDescent="0.25">
      <c r="E217" s="94" t="s">
        <v>203</v>
      </c>
      <c r="F217" s="97"/>
      <c r="G217" s="97"/>
      <c r="H217" s="97"/>
      <c r="I217" s="97"/>
      <c r="J217" s="97"/>
      <c r="K217" s="97"/>
      <c r="L217" s="97"/>
    </row>
    <row r="218" spans="5:12" x14ac:dyDescent="0.25">
      <c r="E218" s="94" t="s">
        <v>204</v>
      </c>
      <c r="F218" s="97">
        <v>7539.01</v>
      </c>
      <c r="G218" s="97">
        <v>8329.01</v>
      </c>
      <c r="H218" s="97">
        <v>3998.07</v>
      </c>
      <c r="I218" s="97">
        <v>3683.32</v>
      </c>
      <c r="J218" s="97">
        <v>2943.72</v>
      </c>
      <c r="K218" s="97">
        <v>6091.16</v>
      </c>
      <c r="L218" s="97"/>
    </row>
    <row r="219" spans="5:12" x14ac:dyDescent="0.25">
      <c r="E219" s="94" t="s">
        <v>205</v>
      </c>
      <c r="F219" s="97">
        <v>35153.01</v>
      </c>
      <c r="G219" s="97">
        <v>28256.6</v>
      </c>
      <c r="H219" s="97">
        <v>11890.92</v>
      </c>
      <c r="I219" s="97">
        <v>0</v>
      </c>
      <c r="J219" s="97">
        <v>6862.81</v>
      </c>
      <c r="K219" s="97">
        <v>183.12</v>
      </c>
      <c r="L219" s="97"/>
    </row>
    <row r="220" spans="5:12" x14ac:dyDescent="0.25">
      <c r="E220" s="94" t="s">
        <v>206</v>
      </c>
      <c r="F220" s="97"/>
      <c r="G220" s="97"/>
      <c r="H220" s="97"/>
      <c r="I220" s="97">
        <v>8647.74</v>
      </c>
      <c r="J220" s="97">
        <v>10692</v>
      </c>
      <c r="K220" s="97">
        <v>12253.94</v>
      </c>
      <c r="L220" s="97"/>
    </row>
    <row r="221" spans="5:12" x14ac:dyDescent="0.25">
      <c r="E221" s="94" t="s">
        <v>207</v>
      </c>
      <c r="F221" s="97"/>
      <c r="G221" s="97"/>
      <c r="H221" s="97"/>
      <c r="I221" s="97"/>
      <c r="J221" s="97"/>
      <c r="K221" s="97"/>
      <c r="L221" s="97"/>
    </row>
    <row r="222" spans="5:12" x14ac:dyDescent="0.25">
      <c r="E222" s="94" t="s">
        <v>208</v>
      </c>
      <c r="F222" s="97">
        <v>183906.22</v>
      </c>
      <c r="G222" s="97">
        <v>296057.2</v>
      </c>
      <c r="H222" s="97">
        <v>289445</v>
      </c>
      <c r="I222" s="97">
        <v>55665</v>
      </c>
      <c r="J222" s="97">
        <v>547139.49</v>
      </c>
      <c r="K222" s="97">
        <v>961135.37</v>
      </c>
      <c r="L222" s="97"/>
    </row>
    <row r="223" spans="5:12" x14ac:dyDescent="0.25">
      <c r="E223" s="94" t="s">
        <v>209</v>
      </c>
      <c r="F223" s="97"/>
      <c r="G223" s="97"/>
      <c r="H223" s="97"/>
      <c r="I223" s="97"/>
      <c r="J223" s="97"/>
      <c r="K223" s="97"/>
      <c r="L223" s="97"/>
    </row>
    <row r="224" spans="5:12" x14ac:dyDescent="0.25">
      <c r="E224" s="94" t="s">
        <v>135</v>
      </c>
      <c r="F224" s="97">
        <v>183906.22</v>
      </c>
      <c r="G224" s="97">
        <v>296057.2</v>
      </c>
      <c r="H224" s="97">
        <v>289445</v>
      </c>
      <c r="I224" s="97">
        <v>55665</v>
      </c>
      <c r="J224" s="97">
        <v>547139.49</v>
      </c>
      <c r="K224" s="97">
        <v>961135.37</v>
      </c>
      <c r="L224" s="97"/>
    </row>
    <row r="225" spans="5:12" x14ac:dyDescent="0.25">
      <c r="E225" s="94" t="s">
        <v>210</v>
      </c>
      <c r="F225" s="97">
        <v>183906.22</v>
      </c>
      <c r="G225" s="97">
        <v>296057.2</v>
      </c>
      <c r="H225" s="97">
        <v>289445</v>
      </c>
      <c r="I225" s="97">
        <v>55665</v>
      </c>
      <c r="J225" s="97">
        <v>547139.49</v>
      </c>
      <c r="K225" s="97">
        <v>961135.37</v>
      </c>
      <c r="L225" s="97"/>
    </row>
    <row r="226" spans="5:12" x14ac:dyDescent="0.25">
      <c r="E226" s="94" t="s">
        <v>211</v>
      </c>
      <c r="F226" s="97"/>
      <c r="G226" s="97"/>
      <c r="H226" s="97"/>
      <c r="I226" s="97"/>
      <c r="J226" s="97"/>
      <c r="K226" s="97">
        <v>0</v>
      </c>
      <c r="L226" s="97"/>
    </row>
    <row r="227" spans="5:12" x14ac:dyDescent="0.25">
      <c r="E227" s="94" t="s">
        <v>212</v>
      </c>
      <c r="F227" s="97">
        <v>1009599.39</v>
      </c>
      <c r="G227" s="97">
        <v>1129586.3799999999</v>
      </c>
      <c r="H227" s="97">
        <v>739290.76</v>
      </c>
      <c r="I227" s="97">
        <v>651905.78</v>
      </c>
      <c r="J227" s="97">
        <v>1003060.44</v>
      </c>
      <c r="K227" s="97">
        <v>1432726.38</v>
      </c>
      <c r="L227" s="97"/>
    </row>
    <row r="228" spans="5:12" x14ac:dyDescent="0.25">
      <c r="E228" s="94" t="s">
        <v>213</v>
      </c>
      <c r="F228" s="97">
        <v>870442.68</v>
      </c>
      <c r="G228" s="97">
        <v>318464.59999999998</v>
      </c>
      <c r="H228" s="97">
        <v>257212.95</v>
      </c>
      <c r="I228" s="97">
        <v>405403.99</v>
      </c>
      <c r="J228" s="97">
        <v>141898.71</v>
      </c>
      <c r="K228" s="97">
        <v>1500751.14</v>
      </c>
      <c r="L228" s="97"/>
    </row>
    <row r="229" spans="5:12" x14ac:dyDescent="0.25">
      <c r="E229" s="94" t="s">
        <v>214</v>
      </c>
      <c r="F229" s="97"/>
      <c r="G229" s="97"/>
      <c r="H229" s="97"/>
      <c r="I229" s="97"/>
      <c r="J229" s="97"/>
      <c r="K229" s="97"/>
      <c r="L229" s="97"/>
    </row>
    <row r="230" spans="5:12" x14ac:dyDescent="0.25">
      <c r="E230" s="94" t="s">
        <v>215</v>
      </c>
      <c r="F230" s="97">
        <v>870442.68</v>
      </c>
      <c r="G230" s="97">
        <v>318464.59999999998</v>
      </c>
      <c r="H230" s="97">
        <v>247763.95</v>
      </c>
      <c r="I230" s="97">
        <v>394753.99</v>
      </c>
      <c r="J230" s="97">
        <v>141898.71</v>
      </c>
      <c r="K230" s="97">
        <v>126213.48</v>
      </c>
      <c r="L230" s="97"/>
    </row>
    <row r="231" spans="5:12" x14ac:dyDescent="0.25">
      <c r="E231" s="94" t="s">
        <v>216</v>
      </c>
      <c r="F231" s="97"/>
      <c r="G231" s="97"/>
      <c r="H231" s="97"/>
      <c r="I231" s="97"/>
      <c r="J231" s="97"/>
      <c r="K231" s="97"/>
      <c r="L231" s="97"/>
    </row>
    <row r="232" spans="5:12" x14ac:dyDescent="0.25">
      <c r="E232" s="94" t="s">
        <v>217</v>
      </c>
      <c r="F232" s="97"/>
      <c r="G232" s="97"/>
      <c r="H232" s="97"/>
      <c r="I232" s="97"/>
      <c r="J232" s="97"/>
      <c r="K232" s="97"/>
      <c r="L232" s="97"/>
    </row>
    <row r="233" spans="5:12" x14ac:dyDescent="0.25">
      <c r="E233" s="94" t="s">
        <v>218</v>
      </c>
      <c r="F233" s="97"/>
      <c r="G233" s="97">
        <v>0</v>
      </c>
      <c r="H233" s="97">
        <v>9449</v>
      </c>
      <c r="I233" s="97">
        <v>10650</v>
      </c>
      <c r="J233" s="97"/>
      <c r="K233" s="97">
        <v>1374537.66</v>
      </c>
      <c r="L233" s="97"/>
    </row>
    <row r="234" spans="5:12" x14ac:dyDescent="0.25">
      <c r="E234" s="94" t="s">
        <v>219</v>
      </c>
      <c r="F234" s="97">
        <v>1835376.33</v>
      </c>
      <c r="G234" s="97">
        <v>1321656.3899999999</v>
      </c>
      <c r="H234" s="97">
        <v>679364.72</v>
      </c>
      <c r="I234" s="97">
        <v>1114719.19</v>
      </c>
      <c r="J234" s="97">
        <v>1873440.11</v>
      </c>
      <c r="K234" s="97">
        <v>1493996.33</v>
      </c>
      <c r="L234" s="97"/>
    </row>
    <row r="235" spans="5:12" x14ac:dyDescent="0.25">
      <c r="E235" s="94" t="s">
        <v>220</v>
      </c>
      <c r="F235" s="97">
        <v>74548.320000000007</v>
      </c>
      <c r="G235" s="97">
        <v>44156.92</v>
      </c>
      <c r="H235" s="97">
        <v>21150.81</v>
      </c>
      <c r="I235" s="97">
        <v>22746.52</v>
      </c>
      <c r="J235" s="97">
        <v>19208.72</v>
      </c>
      <c r="K235" s="97">
        <v>22144.54</v>
      </c>
      <c r="L235" s="97"/>
    </row>
    <row r="236" spans="5:12" x14ac:dyDescent="0.25">
      <c r="E236" s="94" t="s">
        <v>221</v>
      </c>
      <c r="F236" s="97">
        <v>452984.02</v>
      </c>
      <c r="G236" s="97">
        <v>152529.43</v>
      </c>
      <c r="H236" s="97">
        <v>131502.54</v>
      </c>
      <c r="I236" s="97">
        <v>153177.10999999999</v>
      </c>
      <c r="J236" s="97">
        <v>146479.76999999999</v>
      </c>
      <c r="K236" s="97">
        <v>214039.38</v>
      </c>
      <c r="L236" s="97"/>
    </row>
    <row r="237" spans="5:12" x14ac:dyDescent="0.25">
      <c r="E237" s="94" t="s">
        <v>222</v>
      </c>
      <c r="F237" s="97">
        <v>735293.01</v>
      </c>
      <c r="G237" s="97">
        <v>651590.19999999995</v>
      </c>
      <c r="H237" s="97">
        <v>261485.54</v>
      </c>
      <c r="I237" s="97">
        <v>561049.05000000005</v>
      </c>
      <c r="J237" s="97">
        <v>992317.84</v>
      </c>
      <c r="K237" s="97">
        <v>623091.21</v>
      </c>
      <c r="L237" s="97"/>
    </row>
    <row r="238" spans="5:12" x14ac:dyDescent="0.25">
      <c r="E238" s="94" t="s">
        <v>223</v>
      </c>
      <c r="F238" s="97">
        <v>706</v>
      </c>
      <c r="G238" s="97">
        <v>550</v>
      </c>
      <c r="H238" s="97">
        <v>554</v>
      </c>
      <c r="I238" s="97">
        <v>1208.5</v>
      </c>
      <c r="J238" s="97">
        <v>1753</v>
      </c>
      <c r="K238" s="97">
        <v>1633.8</v>
      </c>
      <c r="L238" s="97"/>
    </row>
    <row r="239" spans="5:12" x14ac:dyDescent="0.25">
      <c r="E239" s="94" t="s">
        <v>224</v>
      </c>
      <c r="F239" s="97"/>
      <c r="G239" s="97"/>
      <c r="H239" s="97"/>
      <c r="I239" s="97"/>
      <c r="J239" s="97"/>
      <c r="K239" s="97"/>
      <c r="L239" s="97"/>
    </row>
    <row r="240" spans="5:12" x14ac:dyDescent="0.25">
      <c r="E240" s="94" t="s">
        <v>225</v>
      </c>
      <c r="F240" s="97">
        <v>140329.13</v>
      </c>
      <c r="G240" s="97">
        <v>69383.37</v>
      </c>
      <c r="H240" s="97">
        <v>86433.57</v>
      </c>
      <c r="I240" s="97">
        <v>190917.84</v>
      </c>
      <c r="J240" s="97">
        <v>390790.54</v>
      </c>
      <c r="K240" s="97">
        <v>331736.15000000002</v>
      </c>
      <c r="L240" s="97"/>
    </row>
    <row r="241" spans="5:12" x14ac:dyDescent="0.25">
      <c r="E241" s="94" t="s">
        <v>226</v>
      </c>
      <c r="F241" s="97">
        <v>23523.64</v>
      </c>
      <c r="G241" s="97">
        <v>14547.26</v>
      </c>
      <c r="H241" s="97">
        <v>15141.42</v>
      </c>
      <c r="I241" s="97">
        <v>31070.11</v>
      </c>
      <c r="J241" s="97">
        <v>93926.399999999994</v>
      </c>
      <c r="K241" s="97">
        <v>53372.17</v>
      </c>
      <c r="L241" s="97"/>
    </row>
    <row r="242" spans="5:12" x14ac:dyDescent="0.25">
      <c r="E242" s="94" t="s">
        <v>227</v>
      </c>
      <c r="F242" s="97"/>
      <c r="G242" s="97"/>
      <c r="H242" s="97"/>
      <c r="I242" s="97"/>
      <c r="J242" s="97"/>
      <c r="K242" s="97"/>
      <c r="L242" s="97"/>
    </row>
    <row r="243" spans="5:12" x14ac:dyDescent="0.25">
      <c r="E243" s="94" t="s">
        <v>228</v>
      </c>
      <c r="F243" s="97">
        <v>407992.21</v>
      </c>
      <c r="G243" s="97">
        <v>388899.21</v>
      </c>
      <c r="H243" s="97">
        <v>160758.79999999999</v>
      </c>
      <c r="I243" s="97">
        <v>150932.17000000001</v>
      </c>
      <c r="J243" s="97">
        <v>228963.84</v>
      </c>
      <c r="K243" s="97">
        <v>247979.08</v>
      </c>
      <c r="L243" s="97"/>
    </row>
    <row r="244" spans="5:12" x14ac:dyDescent="0.25">
      <c r="E244" s="94" t="s">
        <v>229</v>
      </c>
      <c r="F244" s="97"/>
      <c r="G244" s="97">
        <v>0</v>
      </c>
      <c r="H244" s="97">
        <v>2338.04</v>
      </c>
      <c r="I244" s="97">
        <v>3617.89</v>
      </c>
      <c r="J244" s="97"/>
      <c r="K244" s="97"/>
      <c r="L244" s="97"/>
    </row>
    <row r="245" spans="5:12" x14ac:dyDescent="0.25">
      <c r="E245" s="94" t="s">
        <v>230</v>
      </c>
      <c r="F245" s="97">
        <v>-964933.65</v>
      </c>
      <c r="G245" s="97">
        <v>-1003191.79</v>
      </c>
      <c r="H245" s="97">
        <v>-422151.77</v>
      </c>
      <c r="I245" s="97">
        <v>-709315.2</v>
      </c>
      <c r="J245" s="97">
        <v>-1731541.4</v>
      </c>
      <c r="K245" s="97">
        <v>6754.81</v>
      </c>
      <c r="L245" s="97"/>
    </row>
    <row r="246" spans="5:12" x14ac:dyDescent="0.25">
      <c r="E246" s="94" t="s">
        <v>231</v>
      </c>
      <c r="F246" s="97">
        <v>971794.84</v>
      </c>
      <c r="G246" s="97">
        <v>1008890.85</v>
      </c>
      <c r="H246" s="97">
        <v>443983.91</v>
      </c>
      <c r="I246" s="97">
        <v>717426.26</v>
      </c>
      <c r="J246" s="97">
        <v>1731710.68</v>
      </c>
      <c r="K246" s="97">
        <v>13846.26</v>
      </c>
      <c r="L246" s="97"/>
    </row>
    <row r="247" spans="5:12" x14ac:dyDescent="0.25">
      <c r="E247" s="94" t="s">
        <v>232</v>
      </c>
      <c r="F247" s="97"/>
      <c r="G247" s="97"/>
      <c r="H247" s="97"/>
      <c r="I247" s="97">
        <v>0</v>
      </c>
      <c r="J247" s="97">
        <v>14900</v>
      </c>
      <c r="K247" s="97">
        <v>10900</v>
      </c>
      <c r="L247" s="97"/>
    </row>
    <row r="248" spans="5:12" x14ac:dyDescent="0.25">
      <c r="E248" s="94" t="s">
        <v>233</v>
      </c>
      <c r="F248" s="97">
        <v>967003.05</v>
      </c>
      <c r="G248" s="97">
        <v>984349.86</v>
      </c>
      <c r="H248" s="97">
        <v>331883.90999999997</v>
      </c>
      <c r="I248" s="97">
        <v>705612.26</v>
      </c>
      <c r="J248" s="97">
        <v>1708128.58</v>
      </c>
      <c r="K248" s="97"/>
      <c r="L248" s="97"/>
    </row>
    <row r="249" spans="5:12" x14ac:dyDescent="0.25">
      <c r="E249" s="94" t="s">
        <v>234</v>
      </c>
      <c r="F249" s="97"/>
      <c r="G249" s="97"/>
      <c r="H249" s="97"/>
      <c r="I249" s="97"/>
      <c r="J249" s="97"/>
      <c r="K249" s="97"/>
      <c r="L249" s="97"/>
    </row>
    <row r="250" spans="5:12" x14ac:dyDescent="0.25">
      <c r="E250" s="94" t="s">
        <v>235</v>
      </c>
      <c r="F250" s="97">
        <v>4791.79</v>
      </c>
      <c r="G250" s="97">
        <v>24540.99</v>
      </c>
      <c r="H250" s="97">
        <v>112100</v>
      </c>
      <c r="I250" s="97">
        <v>11814</v>
      </c>
      <c r="J250" s="97">
        <v>8682.1</v>
      </c>
      <c r="K250" s="97">
        <v>2946.26</v>
      </c>
      <c r="L250" s="97"/>
    </row>
    <row r="251" spans="5:12" x14ac:dyDescent="0.25">
      <c r="E251" s="94" t="s">
        <v>236</v>
      </c>
      <c r="F251" s="97">
        <v>2014.48</v>
      </c>
      <c r="G251" s="97">
        <v>3892.87</v>
      </c>
      <c r="H251" s="97">
        <v>18513.259999999998</v>
      </c>
      <c r="I251" s="97">
        <v>3453.29</v>
      </c>
      <c r="J251" s="97">
        <v>93.81</v>
      </c>
      <c r="K251" s="97">
        <v>20351.13</v>
      </c>
      <c r="L251" s="97"/>
    </row>
    <row r="252" spans="5:12" x14ac:dyDescent="0.25">
      <c r="E252" s="94" t="s">
        <v>237</v>
      </c>
      <c r="F252" s="97"/>
      <c r="G252" s="97"/>
      <c r="H252" s="97"/>
      <c r="I252" s="97"/>
      <c r="J252" s="97"/>
      <c r="K252" s="97"/>
      <c r="L252" s="97"/>
    </row>
    <row r="253" spans="5:12" x14ac:dyDescent="0.25">
      <c r="E253" s="94" t="s">
        <v>238</v>
      </c>
      <c r="F253" s="97"/>
      <c r="G253" s="97"/>
      <c r="H253" s="97"/>
      <c r="I253" s="97"/>
      <c r="J253" s="97"/>
      <c r="K253" s="97"/>
      <c r="L253" s="97"/>
    </row>
    <row r="254" spans="5:12" x14ac:dyDescent="0.25">
      <c r="E254" s="94" t="s">
        <v>239</v>
      </c>
      <c r="F254" s="97">
        <v>2014.48</v>
      </c>
      <c r="G254" s="97">
        <v>3892.87</v>
      </c>
      <c r="H254" s="97">
        <v>18513.259999999998</v>
      </c>
      <c r="I254" s="97">
        <v>3453.29</v>
      </c>
      <c r="J254" s="97">
        <v>93.81</v>
      </c>
      <c r="K254" s="97">
        <v>20351.13</v>
      </c>
      <c r="L254" s="97"/>
    </row>
    <row r="255" spans="5:12" x14ac:dyDescent="0.25">
      <c r="E255" s="94" t="s">
        <v>240</v>
      </c>
      <c r="F255" s="97">
        <v>4846.71</v>
      </c>
      <c r="G255" s="97">
        <v>1806.19</v>
      </c>
      <c r="H255" s="97">
        <v>3318.88</v>
      </c>
      <c r="I255" s="97">
        <v>4657.7700000000004</v>
      </c>
      <c r="J255" s="97">
        <v>75.47</v>
      </c>
      <c r="K255" s="97">
        <v>249.94</v>
      </c>
      <c r="L255" s="97"/>
    </row>
    <row r="256" spans="5:12" x14ac:dyDescent="0.25">
      <c r="E256" s="94" t="s">
        <v>241</v>
      </c>
      <c r="F256" s="97">
        <v>0</v>
      </c>
      <c r="G256" s="97">
        <v>0</v>
      </c>
      <c r="H256" s="97">
        <v>0</v>
      </c>
      <c r="I256" s="97">
        <v>28.33</v>
      </c>
      <c r="J256" s="97">
        <v>300</v>
      </c>
      <c r="K256" s="97">
        <v>930</v>
      </c>
      <c r="L256" s="97"/>
    </row>
    <row r="257" spans="5:12" x14ac:dyDescent="0.25">
      <c r="E257" s="94" t="s">
        <v>242</v>
      </c>
      <c r="F257" s="97"/>
      <c r="G257" s="97"/>
      <c r="H257" s="97"/>
      <c r="I257" s="97"/>
      <c r="J257" s="97"/>
      <c r="K257" s="97"/>
      <c r="L257" s="97"/>
    </row>
    <row r="258" spans="5:12" x14ac:dyDescent="0.25">
      <c r="E258" s="94" t="s">
        <v>243</v>
      </c>
      <c r="F258" s="97"/>
      <c r="G258" s="97"/>
      <c r="H258" s="97"/>
      <c r="I258" s="97"/>
      <c r="J258" s="97"/>
      <c r="K258" s="97"/>
      <c r="L258" s="97"/>
    </row>
    <row r="259" spans="5:12" x14ac:dyDescent="0.25">
      <c r="E259" s="94" t="s">
        <v>244</v>
      </c>
      <c r="F259" s="97"/>
      <c r="G259" s="97"/>
      <c r="H259" s="97"/>
      <c r="I259" s="97"/>
      <c r="J259" s="97"/>
      <c r="K259" s="97"/>
      <c r="L259" s="97"/>
    </row>
    <row r="260" spans="5:12" x14ac:dyDescent="0.25">
      <c r="E260" s="94" t="s">
        <v>245</v>
      </c>
      <c r="F260" s="97"/>
      <c r="G260" s="97"/>
      <c r="H260" s="97"/>
      <c r="I260" s="97"/>
      <c r="J260" s="97"/>
      <c r="K260" s="97"/>
      <c r="L260" s="97"/>
    </row>
    <row r="261" spans="5:12" x14ac:dyDescent="0.25">
      <c r="E261" s="94" t="s">
        <v>244</v>
      </c>
      <c r="F261" s="97"/>
      <c r="G261" s="97"/>
      <c r="H261" s="97"/>
      <c r="I261" s="97"/>
      <c r="J261" s="97"/>
      <c r="K261" s="97"/>
      <c r="L261" s="97"/>
    </row>
    <row r="262" spans="5:12" x14ac:dyDescent="0.25">
      <c r="E262" s="94" t="s">
        <v>246</v>
      </c>
      <c r="F262" s="97"/>
      <c r="G262" s="97"/>
      <c r="H262" s="97">
        <v>0</v>
      </c>
      <c r="I262" s="97">
        <v>28</v>
      </c>
      <c r="J262" s="97">
        <v>300</v>
      </c>
      <c r="K262" s="97"/>
      <c r="L262" s="97"/>
    </row>
    <row r="263" spans="5:12" x14ac:dyDescent="0.25">
      <c r="E263" s="94" t="s">
        <v>247</v>
      </c>
      <c r="F263" s="97"/>
      <c r="G263" s="97"/>
      <c r="H263" s="97"/>
      <c r="I263" s="97"/>
      <c r="J263" s="97"/>
      <c r="K263" s="97"/>
      <c r="L263" s="97"/>
    </row>
    <row r="264" spans="5:12" x14ac:dyDescent="0.25">
      <c r="E264" s="94" t="s">
        <v>248</v>
      </c>
      <c r="F264" s="97"/>
      <c r="G264" s="97"/>
      <c r="H264" s="97"/>
      <c r="I264" s="97"/>
      <c r="J264" s="97"/>
      <c r="K264" s="97"/>
      <c r="L264" s="97"/>
    </row>
    <row r="265" spans="5:12" x14ac:dyDescent="0.25">
      <c r="E265" s="94" t="s">
        <v>249</v>
      </c>
      <c r="F265" s="97"/>
      <c r="G265" s="97"/>
      <c r="H265" s="97"/>
      <c r="I265" s="97"/>
      <c r="J265" s="97"/>
      <c r="K265" s="97"/>
      <c r="L265" s="97"/>
    </row>
    <row r="266" spans="5:12" x14ac:dyDescent="0.25">
      <c r="E266" s="94" t="s">
        <v>250</v>
      </c>
      <c r="F266" s="97"/>
      <c r="G266" s="97"/>
      <c r="H266" s="97"/>
      <c r="I266" s="97"/>
      <c r="J266" s="97"/>
      <c r="K266" s="97"/>
      <c r="L266" s="97"/>
    </row>
    <row r="267" spans="5:12" x14ac:dyDescent="0.25">
      <c r="E267" s="94" t="s">
        <v>251</v>
      </c>
      <c r="F267" s="97"/>
      <c r="G267" s="97"/>
      <c r="H267" s="97">
        <v>0</v>
      </c>
      <c r="I267" s="97">
        <v>0.33</v>
      </c>
      <c r="J267" s="97">
        <v>0</v>
      </c>
      <c r="K267" s="97">
        <v>930</v>
      </c>
      <c r="L267" s="97"/>
    </row>
    <row r="268" spans="5:12" x14ac:dyDescent="0.25">
      <c r="E268" s="94" t="s">
        <v>252</v>
      </c>
      <c r="F268" s="97">
        <v>2534.96</v>
      </c>
      <c r="G268" s="97">
        <v>22.51</v>
      </c>
      <c r="H268" s="97">
        <v>365.49</v>
      </c>
      <c r="I268" s="97">
        <v>392.48</v>
      </c>
      <c r="J268" s="97">
        <v>524.07000000000005</v>
      </c>
      <c r="K268" s="97">
        <v>221.04</v>
      </c>
      <c r="L268" s="97"/>
    </row>
    <row r="269" spans="5:12" x14ac:dyDescent="0.25">
      <c r="E269" s="94" t="s">
        <v>253</v>
      </c>
      <c r="F269" s="97">
        <v>2534.96</v>
      </c>
      <c r="G269" s="97">
        <v>22.51</v>
      </c>
      <c r="H269" s="97">
        <v>365.49</v>
      </c>
      <c r="I269" s="97">
        <v>388.36</v>
      </c>
      <c r="J269" s="97">
        <v>524.07000000000005</v>
      </c>
      <c r="K269" s="97">
        <v>221.04</v>
      </c>
      <c r="L269" s="97"/>
    </row>
    <row r="270" spans="5:12" x14ac:dyDescent="0.25">
      <c r="E270" s="94" t="s">
        <v>254</v>
      </c>
      <c r="F270" s="97"/>
      <c r="G270" s="97"/>
      <c r="H270" s="97"/>
      <c r="I270" s="97"/>
      <c r="J270" s="97"/>
      <c r="K270" s="97"/>
      <c r="L270" s="97"/>
    </row>
    <row r="271" spans="5:12" x14ac:dyDescent="0.25">
      <c r="E271" s="94" t="s">
        <v>255</v>
      </c>
      <c r="F271" s="97"/>
      <c r="G271" s="97"/>
      <c r="H271" s="97"/>
      <c r="I271" s="97"/>
      <c r="J271" s="97"/>
      <c r="K271" s="97"/>
      <c r="L271" s="97"/>
    </row>
    <row r="272" spans="5:12" x14ac:dyDescent="0.25">
      <c r="E272" s="94" t="s">
        <v>249</v>
      </c>
      <c r="F272" s="97"/>
      <c r="G272" s="97"/>
      <c r="H272" s="97"/>
      <c r="I272" s="97"/>
      <c r="J272" s="97"/>
      <c r="K272" s="97"/>
      <c r="L272" s="97"/>
    </row>
    <row r="273" spans="5:12" x14ac:dyDescent="0.25">
      <c r="E273" s="94" t="s">
        <v>256</v>
      </c>
      <c r="F273" s="97"/>
      <c r="G273" s="97"/>
      <c r="H273" s="97"/>
      <c r="I273" s="97"/>
      <c r="J273" s="97"/>
      <c r="K273" s="97"/>
      <c r="L273" s="97"/>
    </row>
    <row r="274" spans="5:12" x14ac:dyDescent="0.25">
      <c r="E274" s="94" t="s">
        <v>257</v>
      </c>
      <c r="F274" s="97"/>
      <c r="G274" s="97"/>
      <c r="H274" s="97">
        <v>0</v>
      </c>
      <c r="I274" s="97">
        <v>4.12</v>
      </c>
      <c r="J274" s="97"/>
      <c r="K274" s="97"/>
      <c r="L274" s="97"/>
    </row>
    <row r="275" spans="5:12" x14ac:dyDescent="0.25">
      <c r="E275" s="94" t="s">
        <v>258</v>
      </c>
      <c r="F275" s="97">
        <v>2311.75</v>
      </c>
      <c r="G275" s="97">
        <v>1783.68</v>
      </c>
      <c r="H275" s="97">
        <v>2953.39</v>
      </c>
      <c r="I275" s="97">
        <v>4293.62</v>
      </c>
      <c r="J275" s="97">
        <v>-148.6</v>
      </c>
      <c r="K275" s="97">
        <v>958.9</v>
      </c>
      <c r="L275" s="97"/>
    </row>
    <row r="276" spans="5:12" x14ac:dyDescent="0.25">
      <c r="E276" s="94" t="s">
        <v>259</v>
      </c>
      <c r="F276" s="97">
        <v>181</v>
      </c>
      <c r="G276" s="97"/>
      <c r="H276" s="97"/>
      <c r="I276" s="97"/>
      <c r="J276" s="97"/>
      <c r="K276" s="97"/>
      <c r="L276" s="97"/>
    </row>
    <row r="277" spans="5:12" x14ac:dyDescent="0.25">
      <c r="E277" s="94" t="s">
        <v>260</v>
      </c>
      <c r="F277" s="97"/>
      <c r="G277" s="97"/>
      <c r="H277" s="97"/>
      <c r="I277" s="97"/>
      <c r="J277" s="97"/>
      <c r="K277" s="97"/>
      <c r="L277" s="97"/>
    </row>
    <row r="278" spans="5:12" x14ac:dyDescent="0.25">
      <c r="E278" s="94" t="s">
        <v>261</v>
      </c>
      <c r="F278" s="97">
        <v>2130.75</v>
      </c>
      <c r="G278" s="97">
        <v>1783.68</v>
      </c>
      <c r="H278" s="97">
        <v>2953.39</v>
      </c>
      <c r="I278" s="97">
        <v>4293.62</v>
      </c>
      <c r="J278" s="97">
        <v>-148.6</v>
      </c>
      <c r="K278" s="97">
        <v>958.9</v>
      </c>
      <c r="L278" s="97"/>
    </row>
    <row r="279" spans="5:12" x14ac:dyDescent="0.25">
      <c r="F279" s="97"/>
      <c r="G279" s="97"/>
      <c r="H279" s="97"/>
      <c r="I279" s="97"/>
      <c r="J279" s="97"/>
      <c r="K279" s="97"/>
      <c r="L279" s="97"/>
    </row>
    <row r="280" spans="5:12" x14ac:dyDescent="0.25">
      <c r="F280" s="97"/>
      <c r="G280" s="97"/>
      <c r="H280" s="97"/>
      <c r="I280" s="97"/>
      <c r="J280" s="97"/>
      <c r="K280" s="97"/>
      <c r="L280" s="97"/>
    </row>
    <row r="281" spans="5:12" x14ac:dyDescent="0.25">
      <c r="F281" s="97"/>
      <c r="G281" s="97"/>
      <c r="H281" s="97"/>
      <c r="I281" s="97"/>
      <c r="J281" s="97"/>
      <c r="K281" s="97"/>
      <c r="L281" s="97"/>
    </row>
    <row r="282" spans="5:12" x14ac:dyDescent="0.25">
      <c r="F282" s="97"/>
      <c r="G282" s="97"/>
      <c r="H282" s="97"/>
      <c r="I282" s="97"/>
      <c r="J282" s="97"/>
      <c r="K282" s="97"/>
      <c r="L282" s="97"/>
    </row>
    <row r="283" spans="5:12" x14ac:dyDescent="0.25">
      <c r="F283" s="97"/>
      <c r="G283" s="97"/>
      <c r="H283" s="97"/>
      <c r="I283" s="97"/>
      <c r="J283" s="97"/>
      <c r="K283" s="97"/>
      <c r="L283" s="97"/>
    </row>
    <row r="284" spans="5:12" x14ac:dyDescent="0.25">
      <c r="F284" s="97"/>
      <c r="G284" s="97"/>
      <c r="H284" s="97"/>
      <c r="I284" s="97"/>
      <c r="J284" s="97"/>
      <c r="K284" s="97"/>
      <c r="L284" s="97"/>
    </row>
    <row r="285" spans="5:12" x14ac:dyDescent="0.25">
      <c r="F285" s="97"/>
      <c r="G285" s="97"/>
      <c r="H285" s="97"/>
      <c r="I285" s="97"/>
      <c r="J285" s="97"/>
      <c r="K285" s="97"/>
      <c r="L285" s="97"/>
    </row>
    <row r="286" spans="5:12" x14ac:dyDescent="0.25">
      <c r="F286" s="97"/>
      <c r="G286" s="97"/>
      <c r="H286" s="97"/>
      <c r="I286" s="97"/>
      <c r="J286" s="97"/>
      <c r="K286" s="97"/>
      <c r="L286" s="97"/>
    </row>
    <row r="287" spans="5:12" x14ac:dyDescent="0.25">
      <c r="F287" s="97"/>
      <c r="G287" s="97"/>
      <c r="H287" s="97"/>
      <c r="I287" s="97"/>
      <c r="J287" s="97"/>
      <c r="K287" s="97"/>
      <c r="L287" s="97"/>
    </row>
    <row r="288" spans="5:12" x14ac:dyDescent="0.25">
      <c r="F288" s="97"/>
      <c r="G288" s="97"/>
      <c r="H288" s="97"/>
      <c r="I288" s="97"/>
      <c r="J288" s="97"/>
      <c r="K288" s="97"/>
      <c r="L288" s="97"/>
    </row>
    <row r="289" spans="6:12" x14ac:dyDescent="0.25">
      <c r="F289" s="97"/>
      <c r="G289" s="97"/>
      <c r="H289" s="97"/>
      <c r="I289" s="97"/>
      <c r="J289" s="97"/>
      <c r="K289" s="97"/>
      <c r="L289" s="97"/>
    </row>
    <row r="290" spans="6:12" x14ac:dyDescent="0.25">
      <c r="F290" s="97"/>
      <c r="G290" s="97"/>
      <c r="H290" s="97"/>
      <c r="I290" s="97"/>
      <c r="J290" s="97"/>
      <c r="K290" s="97"/>
      <c r="L290" s="97"/>
    </row>
    <row r="291" spans="6:12" x14ac:dyDescent="0.25">
      <c r="F291" s="97"/>
      <c r="G291" s="97"/>
      <c r="H291" s="97"/>
      <c r="I291" s="97"/>
      <c r="J291" s="97"/>
      <c r="K291" s="97"/>
      <c r="L291" s="97"/>
    </row>
    <row r="292" spans="6:12" x14ac:dyDescent="0.25">
      <c r="F292" s="97"/>
      <c r="G292" s="97"/>
      <c r="H292" s="97"/>
      <c r="I292" s="97"/>
      <c r="J292" s="97"/>
      <c r="K292" s="97"/>
      <c r="L292" s="97"/>
    </row>
    <row r="293" spans="6:12" x14ac:dyDescent="0.25">
      <c r="F293" s="97"/>
      <c r="G293" s="97"/>
      <c r="H293" s="97"/>
      <c r="I293" s="97"/>
      <c r="J293" s="97"/>
      <c r="K293" s="97"/>
      <c r="L293" s="97"/>
    </row>
    <row r="294" spans="6:12" x14ac:dyDescent="0.25">
      <c r="F294" s="97"/>
      <c r="G294" s="97"/>
      <c r="H294" s="97"/>
      <c r="I294" s="97"/>
      <c r="J294" s="97"/>
      <c r="K294" s="97"/>
      <c r="L294" s="97"/>
    </row>
    <row r="295" spans="6:12" x14ac:dyDescent="0.25">
      <c r="F295" s="97"/>
      <c r="G295" s="97"/>
      <c r="H295" s="97"/>
      <c r="I295" s="97"/>
      <c r="J295" s="97"/>
      <c r="K295" s="97"/>
      <c r="L295" s="97"/>
    </row>
    <row r="296" spans="6:12" x14ac:dyDescent="0.25">
      <c r="F296" s="97"/>
      <c r="G296" s="97"/>
      <c r="H296" s="97"/>
      <c r="I296" s="97"/>
      <c r="J296" s="97"/>
      <c r="K296" s="97"/>
      <c r="L296" s="97"/>
    </row>
    <row r="297" spans="6:12" x14ac:dyDescent="0.25">
      <c r="F297" s="97"/>
      <c r="G297" s="97"/>
      <c r="H297" s="97"/>
      <c r="I297" s="97"/>
      <c r="J297" s="97"/>
      <c r="K297" s="97"/>
      <c r="L297" s="97"/>
    </row>
    <row r="298" spans="6:12" x14ac:dyDescent="0.25">
      <c r="F298" s="97"/>
      <c r="G298" s="97"/>
      <c r="H298" s="97"/>
      <c r="I298" s="97"/>
      <c r="J298" s="97"/>
      <c r="K298" s="97"/>
      <c r="L298" s="97"/>
    </row>
    <row r="299" spans="6:12" x14ac:dyDescent="0.25">
      <c r="F299" s="97"/>
      <c r="G299" s="97"/>
      <c r="H299" s="97"/>
      <c r="I299" s="97"/>
      <c r="J299" s="97"/>
      <c r="K299" s="97"/>
      <c r="L299" s="97"/>
    </row>
    <row r="300" spans="6:12" x14ac:dyDescent="0.25">
      <c r="F300" s="97"/>
      <c r="G300" s="97"/>
      <c r="H300" s="97"/>
      <c r="I300" s="97"/>
      <c r="J300" s="97"/>
      <c r="K300" s="97"/>
      <c r="L300" s="97"/>
    </row>
    <row r="301" spans="6:12" x14ac:dyDescent="0.25">
      <c r="F301" s="97"/>
      <c r="G301" s="97"/>
      <c r="H301" s="97"/>
      <c r="I301" s="97"/>
      <c r="J301" s="97"/>
      <c r="K301" s="97"/>
      <c r="L301" s="97"/>
    </row>
    <row r="302" spans="6:12" x14ac:dyDescent="0.25">
      <c r="F302" s="97"/>
      <c r="G302" s="97"/>
      <c r="H302" s="97"/>
      <c r="I302" s="97"/>
      <c r="J302" s="97"/>
      <c r="K302" s="97"/>
      <c r="L302" s="97"/>
    </row>
    <row r="303" spans="6:12" x14ac:dyDescent="0.25">
      <c r="F303" s="97"/>
      <c r="G303" s="97"/>
      <c r="H303" s="97"/>
      <c r="I303" s="97"/>
      <c r="J303" s="97"/>
      <c r="K303" s="97"/>
      <c r="L303" s="97"/>
    </row>
    <row r="304" spans="6:12" x14ac:dyDescent="0.25">
      <c r="F304" s="97"/>
      <c r="G304" s="97"/>
      <c r="H304" s="97"/>
      <c r="I304" s="97"/>
      <c r="J304" s="97"/>
      <c r="K304" s="97"/>
      <c r="L304" s="97"/>
    </row>
    <row r="305" spans="6:12" x14ac:dyDescent="0.25">
      <c r="F305" s="97"/>
      <c r="G305" s="97"/>
      <c r="H305" s="97"/>
      <c r="I305" s="97"/>
      <c r="J305" s="97"/>
      <c r="K305" s="97"/>
      <c r="L305" s="97"/>
    </row>
    <row r="306" spans="6:12" x14ac:dyDescent="0.25">
      <c r="F306" s="97"/>
      <c r="G306" s="97"/>
      <c r="H306" s="97"/>
      <c r="I306" s="97"/>
      <c r="J306" s="97"/>
      <c r="K306" s="97"/>
      <c r="L306" s="97"/>
    </row>
    <row r="307" spans="6:12" x14ac:dyDescent="0.25">
      <c r="F307" s="97"/>
      <c r="G307" s="97"/>
      <c r="H307" s="97"/>
      <c r="I307" s="97"/>
      <c r="J307" s="97"/>
      <c r="K307" s="97"/>
      <c r="L307" s="97"/>
    </row>
    <row r="308" spans="6:12" x14ac:dyDescent="0.25">
      <c r="F308" s="97"/>
      <c r="G308" s="97"/>
      <c r="H308" s="97"/>
      <c r="I308" s="97"/>
      <c r="J308" s="97"/>
      <c r="K308" s="97"/>
      <c r="L308" s="97"/>
    </row>
    <row r="309" spans="6:12" x14ac:dyDescent="0.25">
      <c r="F309" s="97"/>
      <c r="G309" s="97"/>
      <c r="H309" s="97"/>
      <c r="I309" s="97"/>
      <c r="J309" s="97"/>
      <c r="K309" s="97"/>
      <c r="L309" s="97"/>
    </row>
    <row r="310" spans="6:12" x14ac:dyDescent="0.25">
      <c r="F310" s="97"/>
      <c r="G310" s="97"/>
      <c r="H310" s="97"/>
      <c r="I310" s="97"/>
      <c r="J310" s="97"/>
      <c r="K310" s="97"/>
      <c r="L310" s="97"/>
    </row>
    <row r="311" spans="6:12" x14ac:dyDescent="0.25">
      <c r="F311" s="97"/>
      <c r="G311" s="97"/>
      <c r="H311" s="97"/>
      <c r="I311" s="97"/>
      <c r="J311" s="97"/>
      <c r="K311" s="97"/>
      <c r="L311" s="97"/>
    </row>
    <row r="312" spans="6:12" x14ac:dyDescent="0.25">
      <c r="F312" s="97"/>
      <c r="G312" s="97"/>
      <c r="H312" s="97"/>
      <c r="I312" s="97"/>
      <c r="J312" s="97"/>
      <c r="K312" s="97"/>
      <c r="L312" s="97"/>
    </row>
    <row r="313" spans="6:12" x14ac:dyDescent="0.25">
      <c r="F313" s="97"/>
      <c r="G313" s="97"/>
      <c r="H313" s="97"/>
      <c r="I313" s="97"/>
      <c r="J313" s="97"/>
      <c r="K313" s="97"/>
      <c r="L313" s="97"/>
    </row>
    <row r="314" spans="6:12" x14ac:dyDescent="0.25">
      <c r="F314" s="97"/>
      <c r="G314" s="97"/>
      <c r="H314" s="97"/>
      <c r="I314" s="97"/>
      <c r="J314" s="97"/>
      <c r="K314" s="97"/>
      <c r="L314" s="97"/>
    </row>
    <row r="315" spans="6:12" x14ac:dyDescent="0.25">
      <c r="F315" s="97"/>
      <c r="G315" s="97"/>
      <c r="H315" s="97"/>
      <c r="I315" s="97"/>
      <c r="J315" s="97"/>
      <c r="K315" s="97"/>
      <c r="L315" s="97"/>
    </row>
    <row r="316" spans="6:12" x14ac:dyDescent="0.25">
      <c r="F316" s="97"/>
      <c r="G316" s="97"/>
      <c r="H316" s="97"/>
      <c r="I316" s="97"/>
      <c r="J316" s="97"/>
      <c r="K316" s="97"/>
      <c r="L316" s="97"/>
    </row>
    <row r="317" spans="6:12" x14ac:dyDescent="0.25">
      <c r="F317" s="97"/>
      <c r="G317" s="97"/>
      <c r="H317" s="97"/>
      <c r="I317" s="97"/>
      <c r="J317" s="97"/>
      <c r="K317" s="97"/>
      <c r="L317" s="97"/>
    </row>
    <row r="318" spans="6:12" x14ac:dyDescent="0.25">
      <c r="F318" s="97"/>
      <c r="G318" s="97"/>
      <c r="H318" s="97"/>
      <c r="I318" s="97"/>
      <c r="J318" s="97"/>
      <c r="K318" s="97"/>
      <c r="L318" s="97"/>
    </row>
    <row r="319" spans="6:12" x14ac:dyDescent="0.25">
      <c r="F319" s="97"/>
      <c r="G319" s="97"/>
      <c r="H319" s="97"/>
      <c r="I319" s="97"/>
      <c r="J319" s="97"/>
      <c r="K319" s="97"/>
      <c r="L319" s="97"/>
    </row>
    <row r="320" spans="6:12" x14ac:dyDescent="0.25">
      <c r="F320" s="97"/>
      <c r="G320" s="97"/>
      <c r="H320" s="97"/>
      <c r="I320" s="97"/>
      <c r="J320" s="97"/>
      <c r="K320" s="97"/>
      <c r="L320" s="97"/>
    </row>
    <row r="321" spans="6:12" x14ac:dyDescent="0.25">
      <c r="F321" s="97"/>
      <c r="G321" s="97"/>
      <c r="H321" s="97"/>
      <c r="I321" s="97"/>
      <c r="J321" s="97"/>
      <c r="K321" s="97"/>
      <c r="L321" s="97"/>
    </row>
    <row r="322" spans="6:12" x14ac:dyDescent="0.25">
      <c r="F322" s="97"/>
      <c r="G322" s="97"/>
      <c r="H322" s="97"/>
      <c r="I322" s="97"/>
      <c r="J322" s="97"/>
      <c r="K322" s="97"/>
      <c r="L322" s="97"/>
    </row>
    <row r="323" spans="6:12" x14ac:dyDescent="0.25">
      <c r="F323" s="97"/>
      <c r="G323" s="97"/>
      <c r="H323" s="97"/>
      <c r="I323" s="97"/>
      <c r="J323" s="97"/>
      <c r="K323" s="97"/>
      <c r="L323" s="97"/>
    </row>
    <row r="324" spans="6:12" x14ac:dyDescent="0.25">
      <c r="F324" s="97"/>
      <c r="G324" s="97"/>
      <c r="H324" s="97"/>
      <c r="I324" s="97"/>
      <c r="J324" s="97"/>
      <c r="K324" s="97"/>
      <c r="L324" s="97"/>
    </row>
    <row r="325" spans="6:12" x14ac:dyDescent="0.25">
      <c r="F325" s="97"/>
      <c r="G325" s="97"/>
      <c r="H325" s="97"/>
      <c r="I325" s="97"/>
      <c r="J325" s="97"/>
      <c r="K325" s="97"/>
      <c r="L325" s="97"/>
    </row>
    <row r="326" spans="6:12" x14ac:dyDescent="0.25">
      <c r="F326" s="97"/>
      <c r="G326" s="97"/>
      <c r="H326" s="97"/>
      <c r="I326" s="97"/>
      <c r="J326" s="97"/>
      <c r="K326" s="97"/>
      <c r="L326" s="97"/>
    </row>
    <row r="327" spans="6:12" x14ac:dyDescent="0.25">
      <c r="F327" s="97"/>
      <c r="G327" s="97"/>
      <c r="H327" s="97"/>
      <c r="I327" s="97"/>
      <c r="J327" s="97"/>
      <c r="K327" s="97"/>
      <c r="L327" s="97"/>
    </row>
    <row r="328" spans="6:12" x14ac:dyDescent="0.25">
      <c r="F328" s="97"/>
      <c r="G328" s="97"/>
      <c r="H328" s="97"/>
      <c r="I328" s="97"/>
      <c r="J328" s="97"/>
      <c r="K328" s="97"/>
      <c r="L328" s="97"/>
    </row>
    <row r="329" spans="6:12" x14ac:dyDescent="0.25">
      <c r="F329" s="97"/>
      <c r="G329" s="97"/>
      <c r="H329" s="97"/>
      <c r="I329" s="97"/>
      <c r="J329" s="97"/>
      <c r="K329" s="97"/>
      <c r="L329" s="97"/>
    </row>
    <row r="330" spans="6:12" x14ac:dyDescent="0.25">
      <c r="F330" s="97"/>
      <c r="G330" s="97"/>
      <c r="H330" s="97"/>
      <c r="I330" s="97"/>
      <c r="J330" s="97"/>
      <c r="K330" s="97"/>
      <c r="L330" s="97"/>
    </row>
    <row r="331" spans="6:12" x14ac:dyDescent="0.25">
      <c r="F331" s="97"/>
      <c r="G331" s="97"/>
      <c r="H331" s="97"/>
      <c r="I331" s="97"/>
      <c r="J331" s="97"/>
      <c r="K331" s="97"/>
      <c r="L331" s="97"/>
    </row>
    <row r="332" spans="6:12" x14ac:dyDescent="0.25">
      <c r="F332" s="97"/>
      <c r="G332" s="97"/>
      <c r="H332" s="97"/>
      <c r="I332" s="97"/>
      <c r="J332" s="97"/>
      <c r="K332" s="97"/>
      <c r="L332" s="97"/>
    </row>
    <row r="333" spans="6:12" x14ac:dyDescent="0.25">
      <c r="F333" s="97"/>
      <c r="G333" s="97"/>
      <c r="H333" s="97"/>
      <c r="I333" s="97"/>
      <c r="J333" s="97"/>
      <c r="K333" s="97"/>
      <c r="L333" s="97"/>
    </row>
    <row r="334" spans="6:12" x14ac:dyDescent="0.25">
      <c r="F334" s="97"/>
      <c r="G334" s="97"/>
      <c r="H334" s="97"/>
      <c r="I334" s="97"/>
      <c r="J334" s="97"/>
      <c r="K334" s="97"/>
      <c r="L334" s="97"/>
    </row>
    <row r="335" spans="6:12" x14ac:dyDescent="0.25">
      <c r="F335" s="97"/>
      <c r="G335" s="97"/>
      <c r="H335" s="97"/>
      <c r="I335" s="97"/>
      <c r="J335" s="97"/>
      <c r="K335" s="97"/>
      <c r="L335" s="97"/>
    </row>
    <row r="336" spans="6:12" x14ac:dyDescent="0.25">
      <c r="F336" s="97"/>
      <c r="G336" s="97"/>
      <c r="H336" s="97"/>
      <c r="I336" s="97"/>
      <c r="J336" s="97"/>
      <c r="K336" s="97"/>
      <c r="L336" s="97"/>
    </row>
    <row r="337" spans="6:12" x14ac:dyDescent="0.25">
      <c r="F337" s="97"/>
      <c r="G337" s="97"/>
      <c r="H337" s="97"/>
      <c r="I337" s="97"/>
      <c r="J337" s="97"/>
      <c r="K337" s="97"/>
      <c r="L337" s="97"/>
    </row>
    <row r="338" spans="6:12" x14ac:dyDescent="0.25">
      <c r="F338" s="97"/>
      <c r="G338" s="97"/>
      <c r="H338" s="97"/>
      <c r="I338" s="97"/>
      <c r="J338" s="97"/>
      <c r="K338" s="97"/>
      <c r="L338" s="97"/>
    </row>
    <row r="339" spans="6:12" x14ac:dyDescent="0.25">
      <c r="F339" s="97"/>
      <c r="G339" s="97"/>
      <c r="H339" s="97"/>
      <c r="I339" s="97"/>
      <c r="J339" s="97"/>
      <c r="K339" s="97"/>
      <c r="L339" s="97"/>
    </row>
    <row r="340" spans="6:12" x14ac:dyDescent="0.25">
      <c r="F340" s="97"/>
      <c r="G340" s="97"/>
      <c r="H340" s="97"/>
      <c r="I340" s="97"/>
      <c r="J340" s="97"/>
      <c r="K340" s="97"/>
      <c r="L340" s="97"/>
    </row>
    <row r="341" spans="6:12" x14ac:dyDescent="0.25">
      <c r="F341" s="97"/>
      <c r="G341" s="97"/>
      <c r="H341" s="97"/>
      <c r="I341" s="97"/>
      <c r="J341" s="97"/>
      <c r="K341" s="97"/>
      <c r="L341" s="97"/>
    </row>
    <row r="342" spans="6:12" x14ac:dyDescent="0.25">
      <c r="F342" s="97"/>
      <c r="G342" s="97"/>
      <c r="H342" s="97"/>
      <c r="I342" s="97"/>
      <c r="J342" s="97"/>
      <c r="K342" s="97"/>
      <c r="L342" s="97"/>
    </row>
    <row r="343" spans="6:12" x14ac:dyDescent="0.25">
      <c r="F343" s="97"/>
      <c r="G343" s="97"/>
      <c r="H343" s="97"/>
      <c r="I343" s="97"/>
      <c r="J343" s="97"/>
      <c r="K343" s="97"/>
      <c r="L343" s="97"/>
    </row>
    <row r="344" spans="6:12" x14ac:dyDescent="0.25">
      <c r="F344" s="97"/>
      <c r="G344" s="97"/>
      <c r="H344" s="97"/>
      <c r="I344" s="97"/>
      <c r="J344" s="97"/>
      <c r="K344" s="97"/>
      <c r="L344" s="97"/>
    </row>
    <row r="345" spans="6:12" x14ac:dyDescent="0.25">
      <c r="F345" s="97"/>
      <c r="G345" s="97"/>
      <c r="H345" s="97"/>
      <c r="I345" s="97"/>
      <c r="J345" s="97"/>
      <c r="K345" s="97"/>
      <c r="L345" s="97"/>
    </row>
    <row r="346" spans="6:12" x14ac:dyDescent="0.25">
      <c r="F346" s="97"/>
      <c r="G346" s="97"/>
      <c r="H346" s="97"/>
      <c r="I346" s="97"/>
      <c r="J346" s="97"/>
      <c r="K346" s="97"/>
      <c r="L346" s="97"/>
    </row>
    <row r="347" spans="6:12" x14ac:dyDescent="0.25">
      <c r="F347" s="97"/>
      <c r="G347" s="97"/>
      <c r="H347" s="97"/>
      <c r="I347" s="97"/>
      <c r="J347" s="97"/>
      <c r="K347" s="97"/>
      <c r="L347" s="97"/>
    </row>
    <row r="348" spans="6:12" x14ac:dyDescent="0.25">
      <c r="F348" s="97"/>
      <c r="G348" s="97"/>
      <c r="H348" s="97"/>
      <c r="I348" s="97"/>
      <c r="J348" s="97"/>
      <c r="K348" s="97"/>
      <c r="L348" s="97"/>
    </row>
    <row r="349" spans="6:12" x14ac:dyDescent="0.25">
      <c r="F349" s="97"/>
      <c r="G349" s="97"/>
      <c r="H349" s="97"/>
      <c r="I349" s="97"/>
      <c r="J349" s="97"/>
      <c r="K349" s="97"/>
      <c r="L349" s="97"/>
    </row>
    <row r="350" spans="6:12" x14ac:dyDescent="0.25">
      <c r="F350" s="97"/>
      <c r="G350" s="97"/>
      <c r="H350" s="97"/>
      <c r="I350" s="97"/>
      <c r="J350" s="97"/>
      <c r="K350" s="97"/>
      <c r="L350" s="97"/>
    </row>
    <row r="351" spans="6:12" x14ac:dyDescent="0.25">
      <c r="F351" s="97"/>
      <c r="G351" s="97"/>
      <c r="H351" s="97"/>
      <c r="I351" s="97"/>
      <c r="J351" s="97"/>
      <c r="K351" s="97"/>
      <c r="L351" s="97"/>
    </row>
    <row r="352" spans="6:12" x14ac:dyDescent="0.25">
      <c r="F352" s="97"/>
      <c r="G352" s="97"/>
      <c r="H352" s="97"/>
      <c r="I352" s="97"/>
      <c r="J352" s="97"/>
      <c r="K352" s="97"/>
      <c r="L352" s="97"/>
    </row>
    <row r="353" spans="6:12" x14ac:dyDescent="0.25">
      <c r="F353" s="97"/>
      <c r="G353" s="97"/>
      <c r="H353" s="97"/>
      <c r="I353" s="97"/>
      <c r="J353" s="97"/>
      <c r="K353" s="97"/>
      <c r="L353" s="97"/>
    </row>
    <row r="354" spans="6:12" x14ac:dyDescent="0.25">
      <c r="F354" s="97"/>
      <c r="G354" s="97"/>
      <c r="H354" s="97"/>
      <c r="I354" s="97"/>
      <c r="J354" s="97"/>
      <c r="K354" s="97"/>
      <c r="L354" s="97"/>
    </row>
    <row r="355" spans="6:12" x14ac:dyDescent="0.25">
      <c r="F355" s="97"/>
      <c r="G355" s="97"/>
      <c r="H355" s="97"/>
      <c r="I355" s="97"/>
      <c r="J355" s="97"/>
      <c r="K355" s="97"/>
      <c r="L355" s="97"/>
    </row>
    <row r="356" spans="6:12" x14ac:dyDescent="0.25">
      <c r="F356" s="97"/>
      <c r="G356" s="97"/>
      <c r="H356" s="97"/>
      <c r="I356" s="97"/>
      <c r="J356" s="97"/>
      <c r="K356" s="97"/>
      <c r="L356" s="97"/>
    </row>
    <row r="357" spans="6:12" x14ac:dyDescent="0.25">
      <c r="F357" s="97"/>
      <c r="G357" s="97"/>
      <c r="H357" s="97"/>
      <c r="I357" s="97"/>
      <c r="J357" s="97"/>
      <c r="K357" s="97"/>
      <c r="L357" s="97"/>
    </row>
    <row r="358" spans="6:12" x14ac:dyDescent="0.25">
      <c r="F358" s="97"/>
      <c r="G358" s="97"/>
      <c r="H358" s="97"/>
      <c r="I358" s="97"/>
      <c r="J358" s="97"/>
      <c r="K358" s="97"/>
      <c r="L358" s="97"/>
    </row>
    <row r="359" spans="6:12" x14ac:dyDescent="0.25">
      <c r="F359" s="97"/>
      <c r="G359" s="97"/>
      <c r="H359" s="97"/>
      <c r="I359" s="97"/>
      <c r="J359" s="97"/>
      <c r="K359" s="97"/>
      <c r="L359" s="97"/>
    </row>
    <row r="360" spans="6:12" x14ac:dyDescent="0.25">
      <c r="F360" s="97"/>
      <c r="G360" s="97"/>
      <c r="H360" s="97"/>
      <c r="I360" s="97"/>
      <c r="J360" s="97"/>
      <c r="K360" s="97"/>
      <c r="L360" s="97"/>
    </row>
    <row r="361" spans="6:12" x14ac:dyDescent="0.25">
      <c r="F361" s="97"/>
      <c r="G361" s="97"/>
      <c r="H361" s="97"/>
      <c r="I361" s="97"/>
      <c r="J361" s="97"/>
      <c r="K361" s="97"/>
      <c r="L361" s="97"/>
    </row>
    <row r="362" spans="6:12" x14ac:dyDescent="0.25">
      <c r="F362" s="97"/>
      <c r="G362" s="97"/>
      <c r="H362" s="97"/>
      <c r="I362" s="97"/>
      <c r="J362" s="97"/>
      <c r="K362" s="97"/>
      <c r="L362" s="97"/>
    </row>
    <row r="363" spans="6:12" x14ac:dyDescent="0.25">
      <c r="F363" s="97"/>
      <c r="G363" s="97"/>
      <c r="H363" s="97"/>
      <c r="I363" s="97"/>
      <c r="J363" s="97"/>
      <c r="K363" s="97"/>
      <c r="L363" s="97"/>
    </row>
    <row r="364" spans="6:12" x14ac:dyDescent="0.25">
      <c r="F364" s="97"/>
      <c r="G364" s="97"/>
      <c r="H364" s="97"/>
      <c r="I364" s="97"/>
      <c r="J364" s="97"/>
      <c r="K364" s="97"/>
      <c r="L364" s="97"/>
    </row>
    <row r="365" spans="6:12" x14ac:dyDescent="0.25">
      <c r="F365" s="97"/>
      <c r="G365" s="97"/>
      <c r="H365" s="97"/>
      <c r="I365" s="97"/>
      <c r="J365" s="97"/>
      <c r="K365" s="97"/>
      <c r="L365" s="97"/>
    </row>
    <row r="366" spans="6:12" x14ac:dyDescent="0.25">
      <c r="F366" s="97"/>
      <c r="G366" s="97"/>
      <c r="H366" s="97"/>
      <c r="I366" s="97"/>
      <c r="J366" s="97"/>
      <c r="K366" s="97"/>
      <c r="L366" s="97"/>
    </row>
    <row r="367" spans="6:12" x14ac:dyDescent="0.25">
      <c r="F367" s="97"/>
      <c r="G367" s="97"/>
      <c r="H367" s="97"/>
      <c r="I367" s="97"/>
      <c r="J367" s="97"/>
      <c r="K367" s="97"/>
      <c r="L367" s="97"/>
    </row>
    <row r="368" spans="6:12" x14ac:dyDescent="0.25">
      <c r="F368" s="97"/>
      <c r="G368" s="97"/>
      <c r="H368" s="97"/>
      <c r="I368" s="97"/>
      <c r="J368" s="97"/>
      <c r="K368" s="97"/>
      <c r="L368" s="97"/>
    </row>
    <row r="369" spans="6:12" x14ac:dyDescent="0.25">
      <c r="F369" s="97"/>
      <c r="G369" s="97"/>
      <c r="H369" s="97"/>
      <c r="I369" s="97"/>
      <c r="J369" s="97"/>
      <c r="K369" s="97"/>
      <c r="L369" s="97"/>
    </row>
    <row r="370" spans="6:12" x14ac:dyDescent="0.25">
      <c r="F370" s="97"/>
      <c r="G370" s="97"/>
      <c r="H370" s="97"/>
      <c r="I370" s="97"/>
      <c r="J370" s="97"/>
      <c r="K370" s="97"/>
      <c r="L370" s="97"/>
    </row>
    <row r="371" spans="6:12" x14ac:dyDescent="0.25">
      <c r="F371" s="97"/>
      <c r="G371" s="97"/>
      <c r="H371" s="97"/>
      <c r="I371" s="97"/>
      <c r="J371" s="97"/>
      <c r="K371" s="97"/>
      <c r="L371" s="97"/>
    </row>
    <row r="372" spans="6:12" x14ac:dyDescent="0.25">
      <c r="F372" s="97"/>
      <c r="G372" s="97"/>
      <c r="H372" s="97"/>
      <c r="I372" s="97"/>
      <c r="J372" s="97"/>
      <c r="K372" s="97"/>
      <c r="L372" s="97"/>
    </row>
    <row r="373" spans="6:12" x14ac:dyDescent="0.25">
      <c r="F373" s="97"/>
      <c r="G373" s="97"/>
      <c r="H373" s="97"/>
      <c r="I373" s="97"/>
      <c r="J373" s="97"/>
      <c r="K373" s="97"/>
      <c r="L373" s="97"/>
    </row>
    <row r="374" spans="6:12" x14ac:dyDescent="0.25">
      <c r="F374" s="97"/>
      <c r="G374" s="97"/>
      <c r="H374" s="97"/>
      <c r="I374" s="97"/>
      <c r="J374" s="97"/>
      <c r="K374" s="97"/>
      <c r="L374" s="97"/>
    </row>
    <row r="375" spans="6:12" x14ac:dyDescent="0.25">
      <c r="F375" s="97"/>
      <c r="G375" s="97"/>
      <c r="H375" s="97"/>
      <c r="I375" s="97"/>
      <c r="J375" s="97"/>
      <c r="K375" s="97"/>
      <c r="L375" s="97"/>
    </row>
    <row r="376" spans="6:12" x14ac:dyDescent="0.25">
      <c r="F376" s="97"/>
      <c r="G376" s="97"/>
      <c r="H376" s="97"/>
      <c r="I376" s="97"/>
      <c r="J376" s="97"/>
      <c r="K376" s="97"/>
      <c r="L376" s="97"/>
    </row>
    <row r="377" spans="6:12" x14ac:dyDescent="0.25">
      <c r="F377" s="97"/>
      <c r="G377" s="97"/>
      <c r="H377" s="97"/>
      <c r="I377" s="97"/>
      <c r="J377" s="97"/>
      <c r="K377" s="97"/>
      <c r="L377" s="97"/>
    </row>
    <row r="378" spans="6:12" x14ac:dyDescent="0.25">
      <c r="F378" s="97"/>
      <c r="G378" s="97"/>
      <c r="H378" s="97"/>
      <c r="I378" s="97"/>
      <c r="J378" s="97"/>
      <c r="K378" s="97"/>
      <c r="L378" s="97"/>
    </row>
    <row r="379" spans="6:12" x14ac:dyDescent="0.25">
      <c r="F379" s="97"/>
      <c r="G379" s="97"/>
      <c r="H379" s="97"/>
      <c r="I379" s="97"/>
      <c r="J379" s="97"/>
      <c r="K379" s="97"/>
      <c r="L379" s="97"/>
    </row>
    <row r="380" spans="6:12" x14ac:dyDescent="0.25">
      <c r="F380" s="97"/>
      <c r="G380" s="97"/>
      <c r="H380" s="97"/>
      <c r="I380" s="97"/>
      <c r="J380" s="97"/>
      <c r="K380" s="97"/>
      <c r="L380" s="97"/>
    </row>
    <row r="381" spans="6:12" x14ac:dyDescent="0.25">
      <c r="F381" s="97"/>
      <c r="G381" s="97"/>
      <c r="H381" s="97"/>
      <c r="I381" s="97"/>
      <c r="J381" s="97"/>
      <c r="K381" s="97"/>
      <c r="L381" s="97"/>
    </row>
    <row r="382" spans="6:12" x14ac:dyDescent="0.25">
      <c r="F382" s="97"/>
      <c r="G382" s="97"/>
      <c r="H382" s="97"/>
      <c r="I382" s="97"/>
      <c r="J382" s="97"/>
      <c r="K382" s="97"/>
      <c r="L382" s="97"/>
    </row>
    <row r="383" spans="6:12" x14ac:dyDescent="0.25">
      <c r="F383" s="97"/>
      <c r="G383" s="97"/>
      <c r="H383" s="97"/>
      <c r="I383" s="97"/>
      <c r="J383" s="97"/>
      <c r="K383" s="97"/>
      <c r="L383" s="97"/>
    </row>
    <row r="384" spans="6:12" x14ac:dyDescent="0.25">
      <c r="F384" s="97"/>
      <c r="G384" s="97"/>
      <c r="H384" s="97"/>
      <c r="I384" s="97"/>
      <c r="J384" s="97"/>
      <c r="K384" s="97"/>
      <c r="L384" s="97"/>
    </row>
    <row r="385" spans="6:12" x14ac:dyDescent="0.25">
      <c r="F385" s="97"/>
      <c r="G385" s="97"/>
      <c r="H385" s="97"/>
      <c r="I385" s="97"/>
      <c r="J385" s="97"/>
      <c r="K385" s="97"/>
      <c r="L385" s="97"/>
    </row>
    <row r="386" spans="6:12" x14ac:dyDescent="0.25">
      <c r="F386" s="97"/>
      <c r="G386" s="97"/>
      <c r="H386" s="97"/>
      <c r="I386" s="97"/>
      <c r="J386" s="97"/>
      <c r="K386" s="97"/>
      <c r="L386" s="97"/>
    </row>
    <row r="387" spans="6:12" x14ac:dyDescent="0.25">
      <c r="F387" s="97"/>
      <c r="G387" s="97"/>
      <c r="H387" s="97"/>
      <c r="I387" s="97"/>
      <c r="J387" s="97"/>
      <c r="K387" s="97"/>
      <c r="L387" s="97"/>
    </row>
    <row r="388" spans="6:12" x14ac:dyDescent="0.25">
      <c r="F388" s="97"/>
      <c r="G388" s="97"/>
      <c r="H388" s="97"/>
      <c r="I388" s="97"/>
      <c r="J388" s="97"/>
      <c r="K388" s="97"/>
      <c r="L388" s="97"/>
    </row>
    <row r="389" spans="6:12" x14ac:dyDescent="0.25">
      <c r="F389" s="97"/>
      <c r="G389" s="97"/>
      <c r="H389" s="97"/>
      <c r="I389" s="97"/>
      <c r="J389" s="97"/>
      <c r="K389" s="97"/>
      <c r="L389" s="97"/>
    </row>
    <row r="390" spans="6:12" x14ac:dyDescent="0.25">
      <c r="F390" s="97"/>
      <c r="G390" s="97"/>
      <c r="H390" s="97"/>
      <c r="I390" s="97"/>
      <c r="J390" s="97"/>
      <c r="K390" s="97"/>
      <c r="L390" s="97"/>
    </row>
    <row r="391" spans="6:12" x14ac:dyDescent="0.25">
      <c r="F391" s="97"/>
      <c r="G391" s="97"/>
      <c r="H391" s="97"/>
      <c r="I391" s="97"/>
      <c r="J391" s="97"/>
      <c r="K391" s="97"/>
      <c r="L391" s="97"/>
    </row>
    <row r="392" spans="6:12" x14ac:dyDescent="0.25">
      <c r="F392" s="97"/>
      <c r="G392" s="97"/>
      <c r="H392" s="97"/>
      <c r="I392" s="97"/>
      <c r="J392" s="97"/>
      <c r="K392" s="97"/>
      <c r="L392" s="97"/>
    </row>
    <row r="393" spans="6:12" x14ac:dyDescent="0.25">
      <c r="F393" s="97"/>
      <c r="G393" s="97"/>
      <c r="H393" s="97"/>
      <c r="I393" s="97"/>
      <c r="J393" s="97"/>
      <c r="K393" s="97"/>
      <c r="L393" s="97"/>
    </row>
    <row r="394" spans="6:12" x14ac:dyDescent="0.25">
      <c r="F394" s="97"/>
      <c r="G394" s="97"/>
      <c r="H394" s="97"/>
      <c r="I394" s="97"/>
      <c r="J394" s="97"/>
      <c r="K394" s="97"/>
      <c r="L394" s="97"/>
    </row>
    <row r="395" spans="6:12" x14ac:dyDescent="0.25">
      <c r="F395" s="97"/>
      <c r="G395" s="97"/>
      <c r="H395" s="97"/>
      <c r="I395" s="97"/>
      <c r="J395" s="97"/>
      <c r="K395" s="97"/>
      <c r="L395" s="97"/>
    </row>
    <row r="396" spans="6:12" x14ac:dyDescent="0.25">
      <c r="F396" s="97"/>
      <c r="G396" s="97"/>
      <c r="H396" s="97"/>
      <c r="I396" s="97"/>
      <c r="J396" s="97"/>
      <c r="K396" s="97"/>
      <c r="L396" s="97"/>
    </row>
    <row r="397" spans="6:12" x14ac:dyDescent="0.25">
      <c r="F397" s="97"/>
      <c r="G397" s="97"/>
      <c r="H397" s="97"/>
      <c r="I397" s="97"/>
      <c r="J397" s="97"/>
      <c r="K397" s="97"/>
      <c r="L397" s="97"/>
    </row>
    <row r="398" spans="6:12" x14ac:dyDescent="0.25">
      <c r="F398" s="97"/>
      <c r="G398" s="97"/>
      <c r="H398" s="97"/>
      <c r="I398" s="97"/>
      <c r="J398" s="97"/>
      <c r="K398" s="97"/>
      <c r="L398" s="97"/>
    </row>
    <row r="399" spans="6:12" x14ac:dyDescent="0.25">
      <c r="F399" s="97"/>
      <c r="G399" s="97"/>
      <c r="H399" s="97"/>
      <c r="I399" s="97"/>
      <c r="J399" s="97"/>
      <c r="K399" s="97"/>
      <c r="L399" s="97"/>
    </row>
    <row r="400" spans="6:12" x14ac:dyDescent="0.25">
      <c r="F400" s="97"/>
      <c r="G400" s="97"/>
      <c r="H400" s="97"/>
      <c r="I400" s="97"/>
      <c r="J400" s="97"/>
      <c r="K400" s="97"/>
      <c r="L400" s="97"/>
    </row>
    <row r="401" spans="6:12" x14ac:dyDescent="0.25">
      <c r="F401" s="97"/>
      <c r="G401" s="97"/>
      <c r="H401" s="97"/>
      <c r="I401" s="97"/>
      <c r="J401" s="97"/>
      <c r="K401" s="97"/>
      <c r="L401" s="97"/>
    </row>
    <row r="402" spans="6:12" x14ac:dyDescent="0.25">
      <c r="F402" s="97"/>
      <c r="G402" s="97"/>
      <c r="H402" s="97"/>
      <c r="I402" s="97"/>
      <c r="J402" s="97"/>
      <c r="K402" s="97"/>
      <c r="L402" s="97"/>
    </row>
    <row r="403" spans="6:12" x14ac:dyDescent="0.25">
      <c r="F403" s="97"/>
      <c r="G403" s="97"/>
      <c r="H403" s="97"/>
      <c r="I403" s="97"/>
      <c r="J403" s="97"/>
      <c r="K403" s="97"/>
      <c r="L403" s="97"/>
    </row>
    <row r="404" spans="6:12" x14ac:dyDescent="0.25">
      <c r="F404" s="97"/>
      <c r="G404" s="97"/>
      <c r="H404" s="97"/>
      <c r="I404" s="97"/>
      <c r="J404" s="97"/>
      <c r="K404" s="97"/>
      <c r="L404" s="97"/>
    </row>
    <row r="405" spans="6:12" x14ac:dyDescent="0.25">
      <c r="F405" s="97"/>
      <c r="G405" s="97"/>
      <c r="H405" s="97"/>
      <c r="I405" s="97"/>
      <c r="J405" s="97"/>
      <c r="K405" s="97"/>
      <c r="L405" s="97"/>
    </row>
    <row r="406" spans="6:12" x14ac:dyDescent="0.25">
      <c r="F406" s="97"/>
      <c r="G406" s="97"/>
      <c r="H406" s="97"/>
      <c r="I406" s="97"/>
      <c r="J406" s="97"/>
      <c r="K406" s="97"/>
      <c r="L406" s="97"/>
    </row>
    <row r="407" spans="6:12" x14ac:dyDescent="0.25">
      <c r="F407" s="97"/>
      <c r="G407" s="97"/>
      <c r="H407" s="97"/>
      <c r="I407" s="97"/>
      <c r="J407" s="97"/>
      <c r="K407" s="97"/>
      <c r="L407" s="97"/>
    </row>
    <row r="408" spans="6:12" x14ac:dyDescent="0.25">
      <c r="F408" s="97"/>
      <c r="G408" s="97"/>
      <c r="H408" s="97"/>
      <c r="I408" s="97"/>
      <c r="J408" s="97"/>
      <c r="K408" s="97"/>
      <c r="L408" s="97"/>
    </row>
    <row r="409" spans="6:12" x14ac:dyDescent="0.25">
      <c r="F409" s="97"/>
      <c r="G409" s="97"/>
      <c r="H409" s="97"/>
      <c r="I409" s="97"/>
      <c r="J409" s="97"/>
      <c r="K409" s="97"/>
      <c r="L409" s="97"/>
    </row>
    <row r="410" spans="6:12" x14ac:dyDescent="0.25">
      <c r="F410" s="97"/>
      <c r="G410" s="97"/>
      <c r="H410" s="97"/>
      <c r="I410" s="97"/>
      <c r="J410" s="97"/>
      <c r="K410" s="97"/>
      <c r="L410" s="97"/>
    </row>
    <row r="411" spans="6:12" x14ac:dyDescent="0.25">
      <c r="F411" s="97"/>
      <c r="G411" s="97"/>
      <c r="H411" s="97"/>
      <c r="I411" s="97"/>
      <c r="J411" s="97"/>
      <c r="K411" s="97"/>
      <c r="L411" s="97"/>
    </row>
    <row r="412" spans="6:12" x14ac:dyDescent="0.25">
      <c r="F412" s="97"/>
      <c r="G412" s="97"/>
      <c r="H412" s="97"/>
      <c r="I412" s="97"/>
      <c r="J412" s="97"/>
      <c r="K412" s="97"/>
      <c r="L412" s="97"/>
    </row>
    <row r="413" spans="6:12" x14ac:dyDescent="0.25">
      <c r="F413" s="97"/>
      <c r="G413" s="97"/>
      <c r="H413" s="97"/>
      <c r="I413" s="97"/>
      <c r="J413" s="97"/>
      <c r="K413" s="97"/>
      <c r="L413" s="97"/>
    </row>
    <row r="414" spans="6:12" x14ac:dyDescent="0.25">
      <c r="F414" s="97"/>
      <c r="G414" s="97"/>
      <c r="H414" s="97"/>
      <c r="I414" s="97"/>
      <c r="J414" s="97"/>
      <c r="K414" s="97"/>
      <c r="L414" s="97"/>
    </row>
    <row r="415" spans="6:12" x14ac:dyDescent="0.25">
      <c r="F415" s="97"/>
      <c r="G415" s="97"/>
      <c r="H415" s="97"/>
      <c r="I415" s="97"/>
      <c r="J415" s="97"/>
      <c r="K415" s="97"/>
      <c r="L415" s="97"/>
    </row>
    <row r="416" spans="6:12" x14ac:dyDescent="0.25">
      <c r="F416" s="97"/>
      <c r="G416" s="97"/>
      <c r="H416" s="97"/>
      <c r="I416" s="97"/>
      <c r="J416" s="97"/>
      <c r="K416" s="97"/>
      <c r="L416" s="97"/>
    </row>
    <row r="417" spans="6:12" x14ac:dyDescent="0.25">
      <c r="F417" s="97"/>
      <c r="G417" s="97"/>
      <c r="H417" s="97"/>
      <c r="I417" s="97"/>
      <c r="J417" s="97"/>
      <c r="K417" s="97"/>
      <c r="L417" s="97"/>
    </row>
    <row r="418" spans="6:12" x14ac:dyDescent="0.25">
      <c r="F418" s="97"/>
      <c r="G418" s="97"/>
      <c r="H418" s="97"/>
      <c r="I418" s="97"/>
      <c r="J418" s="97"/>
      <c r="K418" s="97"/>
      <c r="L418" s="97"/>
    </row>
    <row r="419" spans="6:12" x14ac:dyDescent="0.25">
      <c r="F419" s="97"/>
      <c r="G419" s="97"/>
      <c r="H419" s="97"/>
      <c r="I419" s="97"/>
      <c r="J419" s="97"/>
      <c r="K419" s="97"/>
      <c r="L419" s="97"/>
    </row>
    <row r="420" spans="6:12" x14ac:dyDescent="0.25">
      <c r="F420" s="97"/>
      <c r="G420" s="97"/>
      <c r="H420" s="97"/>
      <c r="I420" s="97"/>
      <c r="J420" s="97"/>
      <c r="K420" s="97"/>
      <c r="L420" s="97"/>
    </row>
    <row r="421" spans="6:12" x14ac:dyDescent="0.25">
      <c r="F421" s="97"/>
      <c r="G421" s="97"/>
      <c r="H421" s="97"/>
      <c r="I421" s="97"/>
      <c r="J421" s="97"/>
      <c r="K421" s="97"/>
      <c r="L421" s="97"/>
    </row>
    <row r="422" spans="6:12" x14ac:dyDescent="0.25">
      <c r="F422" s="97"/>
      <c r="G422" s="97"/>
      <c r="H422" s="97"/>
      <c r="I422" s="97"/>
      <c r="J422" s="97"/>
      <c r="K422" s="97"/>
      <c r="L422" s="97"/>
    </row>
    <row r="423" spans="6:12" x14ac:dyDescent="0.25">
      <c r="F423" s="97"/>
      <c r="G423" s="97"/>
      <c r="H423" s="97"/>
      <c r="I423" s="97"/>
      <c r="J423" s="97"/>
      <c r="K423" s="97"/>
      <c r="L423" s="97"/>
    </row>
    <row r="424" spans="6:12" x14ac:dyDescent="0.25">
      <c r="F424" s="97"/>
      <c r="G424" s="97"/>
      <c r="H424" s="97"/>
      <c r="I424" s="97"/>
      <c r="J424" s="97"/>
      <c r="K424" s="97"/>
      <c r="L424" s="97"/>
    </row>
    <row r="425" spans="6:12" x14ac:dyDescent="0.25">
      <c r="F425" s="97"/>
      <c r="G425" s="97"/>
      <c r="H425" s="97"/>
      <c r="I425" s="97"/>
      <c r="J425" s="97"/>
      <c r="K425" s="97"/>
      <c r="L425" s="97"/>
    </row>
    <row r="426" spans="6:12" x14ac:dyDescent="0.25">
      <c r="F426" s="97"/>
      <c r="G426" s="97"/>
      <c r="H426" s="97"/>
      <c r="I426" s="97"/>
      <c r="J426" s="97"/>
      <c r="K426" s="97"/>
      <c r="L426" s="97"/>
    </row>
    <row r="427" spans="6:12" x14ac:dyDescent="0.25">
      <c r="F427" s="97"/>
      <c r="G427" s="97"/>
      <c r="H427" s="97"/>
      <c r="I427" s="97"/>
      <c r="J427" s="97"/>
      <c r="K427" s="97"/>
      <c r="L427" s="97"/>
    </row>
    <row r="428" spans="6:12" x14ac:dyDescent="0.25">
      <c r="F428" s="97"/>
      <c r="G428" s="97"/>
      <c r="H428" s="97"/>
      <c r="I428" s="97"/>
      <c r="J428" s="97"/>
      <c r="K428" s="97"/>
      <c r="L428" s="97"/>
    </row>
    <row r="429" spans="6:12" x14ac:dyDescent="0.25">
      <c r="F429" s="97"/>
      <c r="G429" s="97"/>
      <c r="H429" s="97"/>
      <c r="I429" s="97"/>
      <c r="J429" s="97"/>
      <c r="K429" s="97"/>
      <c r="L429" s="97"/>
    </row>
    <row r="430" spans="6:12" x14ac:dyDescent="0.25">
      <c r="F430" s="97"/>
      <c r="G430" s="97"/>
      <c r="H430" s="97"/>
      <c r="I430" s="97"/>
      <c r="J430" s="97"/>
      <c r="K430" s="97"/>
      <c r="L430" s="97"/>
    </row>
    <row r="431" spans="6:12" x14ac:dyDescent="0.25">
      <c r="F431" s="97"/>
      <c r="G431" s="97"/>
      <c r="H431" s="97"/>
      <c r="I431" s="97"/>
      <c r="J431" s="97"/>
      <c r="K431" s="97"/>
      <c r="L431" s="97"/>
    </row>
    <row r="432" spans="6:12" x14ac:dyDescent="0.25">
      <c r="F432" s="97"/>
      <c r="G432" s="97"/>
      <c r="H432" s="97"/>
      <c r="I432" s="97"/>
      <c r="J432" s="97"/>
      <c r="K432" s="97"/>
      <c r="L432" s="9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B1A63-7666-4E44-8984-9F97A1181A26}">
  <sheetPr>
    <tabColor theme="5" tint="0.79998168889431442"/>
  </sheetPr>
  <dimension ref="A1:K177"/>
  <sheetViews>
    <sheetView workbookViewId="0">
      <selection activeCell="E1" sqref="E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4.6640625" style="43" customWidth="1"/>
    <col min="12" max="12" width="18.6640625" style="43" customWidth="1"/>
    <col min="13" max="16384" width="9.109375" style="43"/>
  </cols>
  <sheetData>
    <row r="1" spans="1:11" ht="14.4" x14ac:dyDescent="0.3">
      <c r="E1" s="186" t="s">
        <v>394</v>
      </c>
      <c r="F1" s="193"/>
      <c r="G1" s="193"/>
      <c r="H1" s="193"/>
      <c r="I1" s="193"/>
      <c r="J1" s="193"/>
      <c r="K1" s="19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0.28549034682824564</v>
      </c>
      <c r="B4" s="139">
        <f>MAX(F4:K4)</f>
        <v>0.59588823025749116</v>
      </c>
      <c r="C4" s="155">
        <f>AVERAGE(F4:K4)</f>
        <v>0.44791134408040878</v>
      </c>
      <c r="D4" s="156">
        <f>MEDIAN(F4:K4)</f>
        <v>0.45663149626505828</v>
      </c>
      <c r="E4" s="47" t="s">
        <v>364</v>
      </c>
      <c r="F4" s="71">
        <f>SUM(F9:F12)/SUM(F13:F15)</f>
        <v>0.59588823025749116</v>
      </c>
      <c r="G4" s="71">
        <f t="shared" ref="G4:K4" si="0">SUM(G9:G12)/SUM(G13:G15)</f>
        <v>0.54423769236880892</v>
      </c>
      <c r="H4" s="71">
        <f t="shared" si="0"/>
        <v>0.49938353483079889</v>
      </c>
      <c r="I4" s="71">
        <f t="shared" si="0"/>
        <v>0.41387945769931767</v>
      </c>
      <c r="J4" s="71">
        <f t="shared" si="0"/>
        <v>0.34858880249779078</v>
      </c>
      <c r="K4" s="71">
        <f t="shared" si="0"/>
        <v>0.28549034682824564</v>
      </c>
    </row>
    <row r="5" spans="1:11" x14ac:dyDescent="0.25">
      <c r="A5" s="139">
        <f t="shared" ref="A5:A7" si="1">MIN(F5:K5)</f>
        <v>1.7131466146640943</v>
      </c>
      <c r="B5" s="139">
        <f t="shared" ref="B5:B7" si="2">MAX(F5:K5)</f>
        <v>2.3117732625715086</v>
      </c>
      <c r="C5" s="155">
        <f t="shared" ref="C5:C7" si="3">AVERAGEIF(F5:K5,"&gt;0")</f>
        <v>1.8702453666269419</v>
      </c>
      <c r="D5" s="156">
        <f t="shared" ref="D5:D7" si="4">_xlfn.AGGREGATE(12,6,F5:K5)</f>
        <v>1.7864367989801582</v>
      </c>
      <c r="E5" s="47" t="s">
        <v>363</v>
      </c>
      <c r="F5" s="71">
        <f t="shared" ref="F5:K5" si="5">SUM(F9:F12)/F14</f>
        <v>1.7880493244850586</v>
      </c>
      <c r="G5" s="71">
        <f t="shared" si="5"/>
        <v>1.7131466146640943</v>
      </c>
      <c r="H5" s="71">
        <f t="shared" si="5"/>
        <v>1.7848242734752577</v>
      </c>
      <c r="I5" s="71">
        <f t="shared" si="5"/>
        <v>1.8642079082359635</v>
      </c>
      <c r="J5" s="71">
        <f t="shared" si="5"/>
        <v>1.7594708163297681</v>
      </c>
      <c r="K5" s="71">
        <f t="shared" si="5"/>
        <v>2.3117732625715086</v>
      </c>
    </row>
    <row r="6" spans="1:11" x14ac:dyDescent="0.25">
      <c r="A6" s="139">
        <f t="shared" si="1"/>
        <v>1.6914274717995237</v>
      </c>
      <c r="B6" s="139">
        <f t="shared" si="2"/>
        <v>2.2320837456205735</v>
      </c>
      <c r="C6" s="155">
        <f t="shared" si="3"/>
        <v>1.8317388824620977</v>
      </c>
      <c r="D6" s="156">
        <f t="shared" si="4"/>
        <v>1.7588841159744804</v>
      </c>
      <c r="E6" s="47" t="s">
        <v>365</v>
      </c>
      <c r="F6" s="71">
        <f t="shared" ref="F6:K6" si="6">SUM(F10:F11)/F14</f>
        <v>1.7490007903732916</v>
      </c>
      <c r="G6" s="71">
        <f t="shared" si="6"/>
        <v>1.6914274717995237</v>
      </c>
      <c r="H6" s="71">
        <f t="shared" si="6"/>
        <v>1.7687674415756689</v>
      </c>
      <c r="I6" s="71">
        <f t="shared" si="6"/>
        <v>1.8358679278590555</v>
      </c>
      <c r="J6" s="71">
        <f t="shared" si="6"/>
        <v>1.7132859175444735</v>
      </c>
      <c r="K6" s="71">
        <f t="shared" si="6"/>
        <v>2.2320837456205735</v>
      </c>
    </row>
    <row r="7" spans="1:11" ht="13.8" thickBot="1" x14ac:dyDescent="0.3">
      <c r="A7" s="139">
        <f t="shared" si="1"/>
        <v>1.5773522262956714</v>
      </c>
      <c r="B7" s="139">
        <f t="shared" si="2"/>
        <v>2.0024341767608136</v>
      </c>
      <c r="C7" s="155">
        <f t="shared" si="3"/>
        <v>1.7052998169234501</v>
      </c>
      <c r="D7" s="156">
        <f t="shared" si="4"/>
        <v>1.6509369697087783</v>
      </c>
      <c r="E7" s="49" t="s">
        <v>366</v>
      </c>
      <c r="F7" s="73">
        <f t="shared" ref="F7:K7" si="7">F11/F14</f>
        <v>1.6077593789167681</v>
      </c>
      <c r="G7" s="73">
        <f t="shared" si="7"/>
        <v>1.5773522262956714</v>
      </c>
      <c r="H7" s="73">
        <f t="shared" si="7"/>
        <v>1.6837128183746211</v>
      </c>
      <c r="I7" s="73">
        <f t="shared" si="7"/>
        <v>1.7423791801498931</v>
      </c>
      <c r="J7" s="73">
        <f t="shared" si="7"/>
        <v>1.6181611210429354</v>
      </c>
      <c r="K7" s="73">
        <f t="shared" si="7"/>
        <v>2.0024341767608136</v>
      </c>
    </row>
    <row r="9" spans="1:11" x14ac:dyDescent="0.25">
      <c r="E9" s="43" t="s">
        <v>289</v>
      </c>
      <c r="F9" s="76">
        <f>F115</f>
        <v>58308.800000000003</v>
      </c>
      <c r="G9" s="76">
        <f t="shared" ref="G9:K9" si="8">G115</f>
        <v>24524.49</v>
      </c>
      <c r="H9" s="76">
        <f t="shared" si="8"/>
        <v>8507.1299999999992</v>
      </c>
      <c r="I9" s="76">
        <f t="shared" si="8"/>
        <v>17722.47</v>
      </c>
      <c r="J9" s="76">
        <f t="shared" si="8"/>
        <v>31096.720000000001</v>
      </c>
      <c r="K9" s="76">
        <f t="shared" si="8"/>
        <v>32466.79</v>
      </c>
    </row>
    <row r="10" spans="1:11" x14ac:dyDescent="0.25">
      <c r="E10" s="43" t="s">
        <v>288</v>
      </c>
      <c r="F10" s="76">
        <f>F116</f>
        <v>270095.8</v>
      </c>
      <c r="G10" s="76">
        <f t="shared" ref="G10:K10" si="9">G116</f>
        <v>227391.61</v>
      </c>
      <c r="H10" s="76">
        <f t="shared" si="9"/>
        <v>135712.41</v>
      </c>
      <c r="I10" s="76">
        <f t="shared" si="9"/>
        <v>120741.56</v>
      </c>
      <c r="J10" s="76">
        <f t="shared" si="9"/>
        <v>103675.71</v>
      </c>
      <c r="K10" s="76">
        <f t="shared" si="9"/>
        <v>141024.22</v>
      </c>
    </row>
    <row r="11" spans="1:11" x14ac:dyDescent="0.25">
      <c r="E11" s="43" t="s">
        <v>287</v>
      </c>
      <c r="F11" s="76">
        <f>F117</f>
        <v>3074516.54</v>
      </c>
      <c r="G11" s="76">
        <f t="shared" ref="G11:K11" si="10">G117</f>
        <v>3144211.18</v>
      </c>
      <c r="H11" s="76">
        <f t="shared" si="10"/>
        <v>2686517.39</v>
      </c>
      <c r="I11" s="76">
        <f t="shared" si="10"/>
        <v>2250298.41</v>
      </c>
      <c r="J11" s="76">
        <f t="shared" si="10"/>
        <v>1763620.1</v>
      </c>
      <c r="K11" s="76">
        <f t="shared" si="10"/>
        <v>1229663.6100000001</v>
      </c>
    </row>
    <row r="12" spans="1:11" x14ac:dyDescent="0.25">
      <c r="E12" s="43" t="s">
        <v>290</v>
      </c>
      <c r="F12" s="76">
        <f>F118</f>
        <v>16363.67</v>
      </c>
      <c r="G12" s="76">
        <f t="shared" ref="G12:K12" si="11">G118</f>
        <v>18769.310000000001</v>
      </c>
      <c r="H12" s="76">
        <f t="shared" si="11"/>
        <v>17113.009999999998</v>
      </c>
      <c r="I12" s="76">
        <f t="shared" si="11"/>
        <v>18878.87</v>
      </c>
      <c r="J12" s="76">
        <f t="shared" si="11"/>
        <v>19239.810000000001</v>
      </c>
      <c r="K12" s="76">
        <f t="shared" si="11"/>
        <v>16469.3</v>
      </c>
    </row>
    <row r="13" spans="1:11" x14ac:dyDescent="0.25">
      <c r="E13" s="43" t="s">
        <v>310</v>
      </c>
      <c r="F13" s="43">
        <f>F128</f>
        <v>0</v>
      </c>
      <c r="G13" s="43">
        <f t="shared" ref="G13:K13" si="12">G128</f>
        <v>0</v>
      </c>
      <c r="H13" s="43">
        <f t="shared" si="12"/>
        <v>0</v>
      </c>
      <c r="I13" s="43">
        <f t="shared" si="12"/>
        <v>0</v>
      </c>
      <c r="J13" s="43">
        <f t="shared" si="12"/>
        <v>0</v>
      </c>
      <c r="K13" s="43">
        <f t="shared" si="12"/>
        <v>0</v>
      </c>
    </row>
    <row r="14" spans="1:11" x14ac:dyDescent="0.25">
      <c r="E14" s="43" t="s">
        <v>286</v>
      </c>
      <c r="F14" s="76">
        <f>F130</f>
        <v>1912298.93</v>
      </c>
      <c r="G14" s="76">
        <f t="shared" ref="G14:K14" si="13">G130</f>
        <v>1993347.54</v>
      </c>
      <c r="H14" s="76">
        <f t="shared" si="13"/>
        <v>1595591.22</v>
      </c>
      <c r="I14" s="76">
        <f t="shared" si="13"/>
        <v>1291509.01</v>
      </c>
      <c r="J14" s="76">
        <f t="shared" si="13"/>
        <v>1089891.53</v>
      </c>
      <c r="K14" s="76">
        <f t="shared" si="13"/>
        <v>614084.41</v>
      </c>
    </row>
    <row r="15" spans="1:11" x14ac:dyDescent="0.25">
      <c r="E15" s="43" t="s">
        <v>362</v>
      </c>
      <c r="F15" s="76">
        <f>F131</f>
        <v>3825832.21</v>
      </c>
      <c r="G15" s="76">
        <f t="shared" ref="G15:K15" si="14">G131</f>
        <v>4281294.29</v>
      </c>
      <c r="H15" s="76">
        <f t="shared" si="14"/>
        <v>4107139.73</v>
      </c>
      <c r="I15" s="76">
        <f t="shared" si="14"/>
        <v>4525743.49</v>
      </c>
      <c r="J15" s="76">
        <f t="shared" si="14"/>
        <v>4411238.53</v>
      </c>
      <c r="K15" s="76">
        <f t="shared" si="14"/>
        <v>4358496.75</v>
      </c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18.703117371064565</v>
      </c>
      <c r="B19" s="152">
        <f t="shared" ref="B19:B25" si="16">MAX(F19:K19)</f>
        <v>34.271723340827137</v>
      </c>
      <c r="C19" s="156">
        <f>AVERAGE(F19:K19)</f>
        <v>27.164225549024419</v>
      </c>
      <c r="D19" s="156">
        <f>MEDIAN(F19:K19)</f>
        <v>27.028240538259475</v>
      </c>
      <c r="E19" s="47" t="s">
        <v>293</v>
      </c>
      <c r="F19" s="71">
        <f>F28/(F27/365)</f>
        <v>34.271723340827137</v>
      </c>
      <c r="G19" s="71">
        <f t="shared" ref="G19:K19" si="17">G28/(G27/365)</f>
        <v>31.948663354231627</v>
      </c>
      <c r="H19" s="71">
        <f t="shared" si="17"/>
        <v>24.005368151504214</v>
      </c>
      <c r="I19" s="71">
        <f t="shared" si="17"/>
        <v>25.741472765801142</v>
      </c>
      <c r="J19" s="71">
        <f t="shared" si="17"/>
        <v>18.703117371064565</v>
      </c>
      <c r="K19" s="71">
        <f t="shared" si="17"/>
        <v>28.315008310717808</v>
      </c>
    </row>
    <row r="20" spans="1:11" x14ac:dyDescent="0.25">
      <c r="A20" s="152">
        <f t="shared" si="15"/>
        <v>1.5047760743671563</v>
      </c>
      <c r="B20" s="152">
        <f t="shared" si="16"/>
        <v>7.3986454507460735</v>
      </c>
      <c r="C20" s="156">
        <f t="shared" ref="C20:C25" si="18">AVERAGE(F20:K20)</f>
        <v>4.7093400674777524</v>
      </c>
      <c r="D20" s="156">
        <f t="shared" ref="D20:D25" si="19">MEDIAN(F20:K20)</f>
        <v>4.6940962622755666</v>
      </c>
      <c r="E20" s="121" t="s">
        <v>367</v>
      </c>
      <c r="F20" s="71">
        <f>F29/(F27/365)</f>
        <v>7.3986454507460735</v>
      </c>
      <c r="G20" s="71">
        <f t="shared" ref="G20:K20" si="20">G29/(G27/365)</f>
        <v>3.4457061759852095</v>
      </c>
      <c r="H20" s="71">
        <f t="shared" si="20"/>
        <v>1.5047760743671563</v>
      </c>
      <c r="I20" s="71">
        <f t="shared" si="20"/>
        <v>3.7783384515466572</v>
      </c>
      <c r="J20" s="71">
        <f t="shared" si="20"/>
        <v>5.6098540730044757</v>
      </c>
      <c r="K20" s="71">
        <f t="shared" si="20"/>
        <v>6.5187201792169445</v>
      </c>
    </row>
    <row r="21" spans="1:11" x14ac:dyDescent="0.25">
      <c r="A21" s="152">
        <f t="shared" si="15"/>
        <v>123.29658815083141</v>
      </c>
      <c r="B21" s="152">
        <f t="shared" si="16"/>
        <v>282.23472455767126</v>
      </c>
      <c r="C21" s="156">
        <f t="shared" si="18"/>
        <v>233.36732530955499</v>
      </c>
      <c r="D21" s="156">
        <f t="shared" si="19"/>
        <v>258.99471445542304</v>
      </c>
      <c r="E21" s="47" t="s">
        <v>368</v>
      </c>
      <c r="F21" s="71">
        <f>F30/(F27/365)</f>
        <v>242.64642350573297</v>
      </c>
      <c r="G21" s="71">
        <f t="shared" ref="G21:K21" si="21">G30/(G27/365)</f>
        <v>280.06657547059791</v>
      </c>
      <c r="H21" s="71">
        <f t="shared" si="21"/>
        <v>282.23472455767126</v>
      </c>
      <c r="I21" s="71">
        <f t="shared" si="21"/>
        <v>275.34300540511316</v>
      </c>
      <c r="J21" s="71">
        <f t="shared" si="21"/>
        <v>196.61663476738318</v>
      </c>
      <c r="K21" s="71">
        <f t="shared" si="21"/>
        <v>123.29658815083141</v>
      </c>
    </row>
    <row r="22" spans="1:11" x14ac:dyDescent="0.25">
      <c r="A22" s="152">
        <f t="shared" si="15"/>
        <v>-256.72458033179987</v>
      </c>
      <c r="B22" s="152">
        <f t="shared" si="16"/>
        <v>-88.462859660896669</v>
      </c>
      <c r="C22" s="156">
        <f t="shared" si="18"/>
        <v>-201.49375969305279</v>
      </c>
      <c r="D22" s="156">
        <f t="shared" si="19"/>
        <v>-222.82413032727044</v>
      </c>
      <c r="E22" s="47" t="s">
        <v>294</v>
      </c>
      <c r="F22" s="71">
        <f>F19+F20-F21</f>
        <v>-200.97605471415977</v>
      </c>
      <c r="G22" s="71">
        <f t="shared" ref="G22:K22" si="22">G19+G20-G21</f>
        <v>-244.67220594038108</v>
      </c>
      <c r="H22" s="71">
        <f t="shared" si="22"/>
        <v>-256.72458033179987</v>
      </c>
      <c r="I22" s="71">
        <f t="shared" si="22"/>
        <v>-245.82319418776535</v>
      </c>
      <c r="J22" s="71">
        <f t="shared" si="22"/>
        <v>-172.30366332331414</v>
      </c>
      <c r="K22" s="71">
        <f t="shared" si="22"/>
        <v>-88.462859660896669</v>
      </c>
    </row>
    <row r="23" spans="1:11" x14ac:dyDescent="0.25">
      <c r="A23" s="152">
        <f t="shared" si="15"/>
        <v>0.22606400041057956</v>
      </c>
      <c r="B23" s="152">
        <f t="shared" si="16"/>
        <v>0.35697993472217188</v>
      </c>
      <c r="C23" s="156">
        <f t="shared" si="18"/>
        <v>0.28407250586688465</v>
      </c>
      <c r="D23" s="156">
        <f t="shared" si="19"/>
        <v>0.27396212128006314</v>
      </c>
      <c r="E23" s="47" t="s">
        <v>295</v>
      </c>
      <c r="F23" s="71">
        <f>F27/F31</f>
        <v>0.35697993472217188</v>
      </c>
      <c r="G23" s="71">
        <f t="shared" ref="G23:K23" si="23">G27/G31</f>
        <v>0.3105751424429728</v>
      </c>
      <c r="H23" s="71">
        <f t="shared" si="23"/>
        <v>0.26758003558010024</v>
      </c>
      <c r="I23" s="71">
        <f t="shared" si="23"/>
        <v>0.22606400041057956</v>
      </c>
      <c r="J23" s="71">
        <f t="shared" si="23"/>
        <v>0.28034420698002599</v>
      </c>
      <c r="K23" s="71">
        <f t="shared" si="23"/>
        <v>0.2628917150654575</v>
      </c>
    </row>
    <row r="24" spans="1:11" x14ac:dyDescent="0.25">
      <c r="A24" s="152">
        <f t="shared" si="15"/>
        <v>0.33080453921156744</v>
      </c>
      <c r="B24" s="152">
        <f t="shared" si="16"/>
        <v>0.62011272813154961</v>
      </c>
      <c r="C24" s="156">
        <f t="shared" si="18"/>
        <v>0.43553838102729642</v>
      </c>
      <c r="D24" s="156">
        <f t="shared" si="19"/>
        <v>0.40301947435674823</v>
      </c>
      <c r="E24" s="121" t="s">
        <v>369</v>
      </c>
      <c r="F24" s="71">
        <f>F27/F32</f>
        <v>0.62011272813154961</v>
      </c>
      <c r="G24" s="71">
        <f t="shared" ref="G24:K24" si="24">G27/G32</f>
        <v>0.52484468765130865</v>
      </c>
      <c r="H24" s="71">
        <f t="shared" si="24"/>
        <v>0.42425163492057277</v>
      </c>
      <c r="I24" s="71">
        <f t="shared" si="24"/>
        <v>0.3314293824558564</v>
      </c>
      <c r="J24" s="71">
        <f t="shared" si="24"/>
        <v>0.38178731379292369</v>
      </c>
      <c r="K24" s="71">
        <f t="shared" si="24"/>
        <v>0.33080453921156744</v>
      </c>
    </row>
    <row r="25" spans="1:11" ht="13.8" thickBot="1" x14ac:dyDescent="0.3">
      <c r="A25" s="152">
        <f t="shared" si="15"/>
        <v>0.71108983422451744</v>
      </c>
      <c r="B25" s="152">
        <f t="shared" si="16"/>
        <v>1.2805500839968942</v>
      </c>
      <c r="C25" s="156">
        <f t="shared" si="18"/>
        <v>0.89555545578492968</v>
      </c>
      <c r="D25" s="156">
        <f t="shared" si="19"/>
        <v>0.8010096445611381</v>
      </c>
      <c r="E25" s="49" t="s">
        <v>296</v>
      </c>
      <c r="F25" s="73">
        <f>F27/F33</f>
        <v>0.8412778899222495</v>
      </c>
      <c r="G25" s="73">
        <f t="shared" ref="G25:K25" si="25">G27/G33</f>
        <v>0.7607413992000267</v>
      </c>
      <c r="H25" s="73">
        <f t="shared" si="25"/>
        <v>0.72458102199022467</v>
      </c>
      <c r="I25" s="73">
        <f t="shared" si="25"/>
        <v>0.71108983422451744</v>
      </c>
      <c r="J25" s="73">
        <f t="shared" si="25"/>
        <v>1.0550925053756655</v>
      </c>
      <c r="K25" s="73">
        <f t="shared" si="25"/>
        <v>1.2805500839968942</v>
      </c>
    </row>
    <row r="26" spans="1:11" x14ac:dyDescent="0.25">
      <c r="C26" s="155"/>
      <c r="D26" s="156"/>
    </row>
    <row r="27" spans="1:11" x14ac:dyDescent="0.25">
      <c r="E27" s="43" t="s">
        <v>304</v>
      </c>
      <c r="F27" s="76">
        <f>F93+F86</f>
        <v>2876568.71</v>
      </c>
      <c r="G27" s="76">
        <f t="shared" ref="G27:K27" si="26">G93+G86</f>
        <v>2597853.21</v>
      </c>
      <c r="H27" s="76">
        <f t="shared" si="26"/>
        <v>2063498.02</v>
      </c>
      <c r="I27" s="76">
        <f t="shared" si="26"/>
        <v>1712049.26</v>
      </c>
      <c r="J27" s="76">
        <f t="shared" si="26"/>
        <v>2023279.51</v>
      </c>
      <c r="K27" s="76">
        <f t="shared" si="26"/>
        <v>1817899.53</v>
      </c>
    </row>
    <row r="28" spans="1:11" x14ac:dyDescent="0.25">
      <c r="E28" s="43" t="s">
        <v>305</v>
      </c>
      <c r="F28" s="76">
        <f>F116</f>
        <v>270095.8</v>
      </c>
      <c r="G28" s="76">
        <f t="shared" ref="G28:K28" si="27">G116</f>
        <v>227391.61</v>
      </c>
      <c r="H28" s="76">
        <f t="shared" si="27"/>
        <v>135712.41</v>
      </c>
      <c r="I28" s="76">
        <f t="shared" si="27"/>
        <v>120741.56</v>
      </c>
      <c r="J28" s="76">
        <f t="shared" si="27"/>
        <v>103675.71</v>
      </c>
      <c r="K28" s="76">
        <f t="shared" si="27"/>
        <v>141024.22</v>
      </c>
    </row>
    <row r="29" spans="1:11" x14ac:dyDescent="0.25">
      <c r="E29" s="43" t="s">
        <v>306</v>
      </c>
      <c r="F29" s="76">
        <f>F115</f>
        <v>58308.800000000003</v>
      </c>
      <c r="G29" s="76">
        <f t="shared" ref="G29:K29" si="28">G115</f>
        <v>24524.49</v>
      </c>
      <c r="H29" s="76">
        <f t="shared" si="28"/>
        <v>8507.1299999999992</v>
      </c>
      <c r="I29" s="76">
        <f t="shared" si="28"/>
        <v>17722.47</v>
      </c>
      <c r="J29" s="76">
        <f t="shared" si="28"/>
        <v>31096.720000000001</v>
      </c>
      <c r="K29" s="76">
        <f t="shared" si="28"/>
        <v>32466.79</v>
      </c>
    </row>
    <row r="30" spans="1:11" x14ac:dyDescent="0.25">
      <c r="E30" s="43" t="s">
        <v>307</v>
      </c>
      <c r="F30" s="76">
        <f>F130</f>
        <v>1912298.93</v>
      </c>
      <c r="G30" s="76">
        <f t="shared" ref="G30:K30" si="29">G130</f>
        <v>1993347.54</v>
      </c>
      <c r="H30" s="76">
        <f t="shared" si="29"/>
        <v>1595591.22</v>
      </c>
      <c r="I30" s="76">
        <f t="shared" si="29"/>
        <v>1291509.01</v>
      </c>
      <c r="J30" s="76">
        <f t="shared" si="29"/>
        <v>1089891.53</v>
      </c>
      <c r="K30" s="76">
        <f t="shared" si="29"/>
        <v>614084.41</v>
      </c>
    </row>
    <row r="31" spans="1:11" x14ac:dyDescent="0.25">
      <c r="E31" s="43" t="s">
        <v>303</v>
      </c>
      <c r="F31" s="76">
        <f>F120</f>
        <v>8058068.3399999999</v>
      </c>
      <c r="G31" s="76">
        <f t="shared" ref="G31:K31" si="30">G120</f>
        <v>8364652.7199999997</v>
      </c>
      <c r="H31" s="76">
        <f t="shared" si="30"/>
        <v>7711703.96</v>
      </c>
      <c r="I31" s="76">
        <f t="shared" si="30"/>
        <v>7573294.54</v>
      </c>
      <c r="J31" s="76">
        <f t="shared" si="30"/>
        <v>7217126.1600000001</v>
      </c>
      <c r="K31" s="76">
        <f t="shared" si="30"/>
        <v>6915012.6299999999</v>
      </c>
    </row>
    <row r="32" spans="1:11" x14ac:dyDescent="0.25">
      <c r="E32" s="43" t="s">
        <v>308</v>
      </c>
      <c r="F32" s="76">
        <f>F108</f>
        <v>4638783.53</v>
      </c>
      <c r="G32" s="76">
        <f t="shared" ref="G32:K32" si="31">G108</f>
        <v>4949756.13</v>
      </c>
      <c r="H32" s="76">
        <f t="shared" si="31"/>
        <v>4863854.0199999996</v>
      </c>
      <c r="I32" s="76">
        <f t="shared" si="31"/>
        <v>5165653.2300000004</v>
      </c>
      <c r="J32" s="76">
        <f t="shared" si="31"/>
        <v>5299493.82</v>
      </c>
      <c r="K32" s="76">
        <f t="shared" si="31"/>
        <v>5495388.71</v>
      </c>
    </row>
    <row r="33" spans="1:11" x14ac:dyDescent="0.25">
      <c r="E33" s="43" t="s">
        <v>309</v>
      </c>
      <c r="F33" s="76">
        <f>F114</f>
        <v>3419284.81</v>
      </c>
      <c r="G33" s="76">
        <f t="shared" ref="G33:K33" si="32">G114</f>
        <v>3414896.59</v>
      </c>
      <c r="H33" s="76">
        <f t="shared" si="32"/>
        <v>2847849.94</v>
      </c>
      <c r="I33" s="76">
        <f t="shared" si="32"/>
        <v>2407641.31</v>
      </c>
      <c r="J33" s="76">
        <f t="shared" si="32"/>
        <v>1917632.34</v>
      </c>
      <c r="K33" s="76">
        <f t="shared" si="32"/>
        <v>1419623.92</v>
      </c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5">
      <c r="A37" s="139">
        <f t="shared" ref="A37:A41" si="33">MIN(F37:K37)</f>
        <v>8.8804524714223121E-2</v>
      </c>
      <c r="B37" s="139">
        <f t="shared" ref="B37:B41" si="34">MAX(F37:K37)</f>
        <v>0.238306072795333</v>
      </c>
      <c r="C37" s="160">
        <f t="shared" ref="C37:C41" si="35">AVERAGE(F37:K37)</f>
        <v>0.18214663287379437</v>
      </c>
      <c r="D37" s="160">
        <f t="shared" ref="D37:D41" si="36">MEDIAN(F37:K37)</f>
        <v>0.18871988893977149</v>
      </c>
      <c r="E37" s="47" t="s">
        <v>370</v>
      </c>
      <c r="F37" s="119">
        <f>F43/F44*100%</f>
        <v>0.23731480664012339</v>
      </c>
      <c r="G37" s="119">
        <f t="shared" ref="G37:K37" si="37">G43/G44*100%</f>
        <v>0.238306072795333</v>
      </c>
      <c r="H37" s="119">
        <f t="shared" si="37"/>
        <v>0.20690514421666156</v>
      </c>
      <c r="I37" s="119">
        <f t="shared" si="37"/>
        <v>0.17053463366288141</v>
      </c>
      <c r="J37" s="119">
        <f t="shared" si="37"/>
        <v>0.15101461521354367</v>
      </c>
      <c r="K37" s="119">
        <f t="shared" si="37"/>
        <v>8.8804524714223121E-2</v>
      </c>
    </row>
    <row r="38" spans="1:11" x14ac:dyDescent="0.25">
      <c r="A38" s="139">
        <f t="shared" si="33"/>
        <v>0.31614212366524314</v>
      </c>
      <c r="B38" s="139">
        <f t="shared" si="34"/>
        <v>0.95374983428914106</v>
      </c>
      <c r="C38" s="155">
        <f t="shared" si="35"/>
        <v>0.70983593077852847</v>
      </c>
      <c r="D38" s="156">
        <f t="shared" si="36"/>
        <v>0.76484908307858668</v>
      </c>
      <c r="E38" s="50" t="s">
        <v>298</v>
      </c>
      <c r="F38" s="122">
        <f>F43/F45</f>
        <v>0.8242890928254436</v>
      </c>
      <c r="G38" s="122">
        <f t="shared" ref="G38:K38" si="38">G43/G45</f>
        <v>0.95374983428914106</v>
      </c>
      <c r="H38" s="122">
        <f t="shared" si="38"/>
        <v>0.79423228289164516</v>
      </c>
      <c r="I38" s="122">
        <f t="shared" si="38"/>
        <v>0.7354658832655282</v>
      </c>
      <c r="J38" s="122">
        <f t="shared" si="38"/>
        <v>0.63513636773416904</v>
      </c>
      <c r="K38" s="122">
        <f t="shared" si="38"/>
        <v>0.31614212366524314</v>
      </c>
    </row>
    <row r="39" spans="1:11" x14ac:dyDescent="0.25">
      <c r="A39" s="139">
        <f t="shared" si="33"/>
        <v>3.4733993402924868</v>
      </c>
      <c r="B39" s="139">
        <f t="shared" si="34"/>
        <v>4.3127068529634975</v>
      </c>
      <c r="C39" s="155">
        <f t="shared" si="35"/>
        <v>3.8987855263990721</v>
      </c>
      <c r="D39" s="156">
        <f t="shared" si="36"/>
        <v>3.9204176378845892</v>
      </c>
      <c r="E39" s="50" t="s">
        <v>299</v>
      </c>
      <c r="F39" s="122">
        <f>F44/F45</f>
        <v>3.4733993402924868</v>
      </c>
      <c r="G39" s="122">
        <f t="shared" ref="G39:K39" si="39">G44/G45</f>
        <v>4.002205328221998</v>
      </c>
      <c r="H39" s="122">
        <f t="shared" si="39"/>
        <v>3.8386299475471799</v>
      </c>
      <c r="I39" s="122">
        <f t="shared" si="39"/>
        <v>4.3127068529634975</v>
      </c>
      <c r="J39" s="122">
        <f t="shared" si="39"/>
        <v>4.2057940341472806</v>
      </c>
      <c r="K39" s="122">
        <f t="shared" si="39"/>
        <v>3.5599776552219882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77" t="s">
        <v>371</v>
      </c>
      <c r="F40" s="119">
        <f>F46/F44*100%</f>
        <v>0</v>
      </c>
      <c r="G40" s="119">
        <f t="shared" ref="G40:K40" si="40">G46/G44*100%</f>
        <v>0</v>
      </c>
      <c r="H40" s="119">
        <f t="shared" si="40"/>
        <v>0</v>
      </c>
      <c r="I40" s="119">
        <f t="shared" si="40"/>
        <v>0</v>
      </c>
      <c r="J40" s="119">
        <f t="shared" si="40"/>
        <v>0</v>
      </c>
      <c r="K40" s="119">
        <f t="shared" si="40"/>
        <v>0</v>
      </c>
    </row>
    <row r="41" spans="1:11" ht="13.8" thickBot="1" x14ac:dyDescent="0.3">
      <c r="A41" s="139">
        <f t="shared" si="33"/>
        <v>17.710471068062137</v>
      </c>
      <c r="B41" s="139">
        <f t="shared" si="34"/>
        <v>4372.780330448466</v>
      </c>
      <c r="C41" s="155">
        <f t="shared" si="35"/>
        <v>787.68399164245329</v>
      </c>
      <c r="D41" s="156">
        <f t="shared" si="36"/>
        <v>42.175354655886316</v>
      </c>
      <c r="E41" s="51" t="s">
        <v>300</v>
      </c>
      <c r="F41" s="123">
        <f>(F47+F48)/F48</f>
        <v>24.587700114815053</v>
      </c>
      <c r="G41" s="123">
        <f t="shared" ref="G41:K41" si="41">(G47+G48)/G48</f>
        <v>34.002702152031148</v>
      </c>
      <c r="H41" s="123">
        <f t="shared" si="41"/>
        <v>50.348007159741485</v>
      </c>
      <c r="I41" s="123">
        <f t="shared" si="41"/>
        <v>17.710471068062137</v>
      </c>
      <c r="J41" s="123">
        <f t="shared" si="41"/>
        <v>4372.780330448466</v>
      </c>
      <c r="K41" s="123">
        <f t="shared" si="41"/>
        <v>226.67473891160398</v>
      </c>
    </row>
    <row r="43" spans="1:11" x14ac:dyDescent="0.25">
      <c r="E43" s="43" t="s">
        <v>318</v>
      </c>
      <c r="F43" s="76">
        <f>F129+F130</f>
        <v>1912298.93</v>
      </c>
      <c r="G43" s="76">
        <f t="shared" ref="G43:K43" si="42">G129+G130</f>
        <v>1993347.54</v>
      </c>
      <c r="H43" s="76">
        <f t="shared" si="42"/>
        <v>1595591.22</v>
      </c>
      <c r="I43" s="76">
        <f t="shared" si="42"/>
        <v>1291509.01</v>
      </c>
      <c r="J43" s="76">
        <f t="shared" si="42"/>
        <v>1089891.53</v>
      </c>
      <c r="K43" s="76">
        <f t="shared" si="42"/>
        <v>614084.41</v>
      </c>
    </row>
    <row r="44" spans="1:11" x14ac:dyDescent="0.25">
      <c r="E44" s="43" t="s">
        <v>303</v>
      </c>
      <c r="F44" s="76">
        <f>F120</f>
        <v>8058068.3399999999</v>
      </c>
      <c r="G44" s="76">
        <f t="shared" ref="G44:K44" si="43">G120</f>
        <v>8364652.7199999997</v>
      </c>
      <c r="H44" s="76">
        <f t="shared" si="43"/>
        <v>7711703.96</v>
      </c>
      <c r="I44" s="76">
        <f t="shared" si="43"/>
        <v>7573294.54</v>
      </c>
      <c r="J44" s="76">
        <f t="shared" si="43"/>
        <v>7217126.1600000001</v>
      </c>
      <c r="K44" s="76">
        <f t="shared" si="43"/>
        <v>6915012.6299999999</v>
      </c>
    </row>
    <row r="45" spans="1:11" x14ac:dyDescent="0.25">
      <c r="E45" s="43" t="s">
        <v>311</v>
      </c>
      <c r="F45" s="76">
        <f>F122</f>
        <v>2319937.2000000002</v>
      </c>
      <c r="G45" s="76">
        <f t="shared" ref="G45:K45" si="44">G122</f>
        <v>2090010.89</v>
      </c>
      <c r="H45" s="76">
        <f t="shared" si="44"/>
        <v>2008973.01</v>
      </c>
      <c r="I45" s="76">
        <f t="shared" si="44"/>
        <v>1756042.04</v>
      </c>
      <c r="J45" s="76">
        <f t="shared" si="44"/>
        <v>1715996.1</v>
      </c>
      <c r="K45" s="76">
        <f t="shared" si="44"/>
        <v>1942431.47</v>
      </c>
    </row>
    <row r="46" spans="1:11" x14ac:dyDescent="0.25">
      <c r="E46" s="43" t="s">
        <v>312</v>
      </c>
      <c r="F46" s="43">
        <f>F129</f>
        <v>0</v>
      </c>
      <c r="G46" s="43">
        <f t="shared" ref="G46:K46" si="45">G129</f>
        <v>0</v>
      </c>
      <c r="H46" s="43">
        <f t="shared" si="45"/>
        <v>0</v>
      </c>
      <c r="I46" s="43">
        <f t="shared" si="45"/>
        <v>0</v>
      </c>
      <c r="J46" s="43">
        <f t="shared" si="45"/>
        <v>0</v>
      </c>
      <c r="K46" s="43">
        <f t="shared" si="45"/>
        <v>0</v>
      </c>
    </row>
    <row r="47" spans="1:11" x14ac:dyDescent="0.25">
      <c r="E47" s="43" t="s">
        <v>313</v>
      </c>
      <c r="F47" s="76">
        <f>F102</f>
        <v>265224.11</v>
      </c>
      <c r="G47" s="76">
        <f t="shared" ref="G47:K47" si="46">G102</f>
        <v>265643.37</v>
      </c>
      <c r="H47" s="76">
        <f t="shared" si="46"/>
        <v>361163.26</v>
      </c>
      <c r="I47" s="76">
        <f t="shared" si="46"/>
        <v>129184.14</v>
      </c>
      <c r="J47" s="76">
        <f t="shared" si="46"/>
        <v>833479.92</v>
      </c>
      <c r="K47" s="76">
        <f t="shared" si="46"/>
        <v>1022755.66</v>
      </c>
    </row>
    <row r="48" spans="1:11" x14ac:dyDescent="0.25">
      <c r="E48" s="43" t="s">
        <v>314</v>
      </c>
      <c r="F48" s="76">
        <f>F101</f>
        <v>11244.17</v>
      </c>
      <c r="G48" s="76">
        <f t="shared" ref="G48:K48" si="47">G101</f>
        <v>8049.14</v>
      </c>
      <c r="H48" s="76">
        <f t="shared" si="47"/>
        <v>7318.7</v>
      </c>
      <c r="I48" s="76">
        <f t="shared" si="47"/>
        <v>7730.73</v>
      </c>
      <c r="J48" s="76">
        <f t="shared" si="47"/>
        <v>190.65</v>
      </c>
      <c r="K48" s="76">
        <f t="shared" si="47"/>
        <v>4531.99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-0.43992804451032191</v>
      </c>
      <c r="B52" s="139">
        <f t="shared" ref="B52:B63" si="49">MAX(F52:K52)</f>
        <v>0.26778382989161947</v>
      </c>
      <c r="C52" s="160">
        <f t="shared" ref="C52:C63" si="50">AVERAGE(F52:K52)</f>
        <v>-0.16300420441288341</v>
      </c>
      <c r="D52" s="160">
        <f t="shared" ref="D52:D63" si="51">MEDIAN(F52:K52)</f>
        <v>-0.34870077815066403</v>
      </c>
      <c r="E52" s="50" t="s">
        <v>350</v>
      </c>
      <c r="F52" s="119">
        <f t="shared" ref="F52:K52" si="52">(F65/(F70+F71))*100%</f>
        <v>-0.36491400955954911</v>
      </c>
      <c r="G52" s="119">
        <f t="shared" si="52"/>
        <v>-0.33984750851417495</v>
      </c>
      <c r="H52" s="119">
        <f t="shared" si="52"/>
        <v>-0.35755404778715316</v>
      </c>
      <c r="I52" s="119">
        <f t="shared" si="52"/>
        <v>-0.43992804451032191</v>
      </c>
      <c r="J52" s="119">
        <f t="shared" si="52"/>
        <v>0.26778382989161947</v>
      </c>
      <c r="K52" s="120">
        <f t="shared" si="52"/>
        <v>0.2564345540022791</v>
      </c>
    </row>
    <row r="53" spans="1:11" x14ac:dyDescent="0.25">
      <c r="A53" s="139">
        <f t="shared" si="48"/>
        <v>-0.87851639852932739</v>
      </c>
      <c r="B53" s="139">
        <f t="shared" si="49"/>
        <v>0.16009749999770337</v>
      </c>
      <c r="C53" s="160">
        <f t="shared" si="50"/>
        <v>-0.46184083881886995</v>
      </c>
      <c r="D53" s="160">
        <f t="shared" si="51"/>
        <v>-0.67686422631064969</v>
      </c>
      <c r="E53" s="50" t="s">
        <v>351</v>
      </c>
      <c r="F53" s="119">
        <f>(F66/F70)*100%</f>
        <v>-0.69923244266696138</v>
      </c>
      <c r="G53" s="119">
        <f t="shared" ref="G53:K53" si="53">(G66/G70)*100%</f>
        <v>-0.65449600995433799</v>
      </c>
      <c r="H53" s="119">
        <f t="shared" si="53"/>
        <v>-0.73118151089866323</v>
      </c>
      <c r="I53" s="119">
        <f t="shared" si="53"/>
        <v>-0.87851639852932739</v>
      </c>
      <c r="J53" s="119">
        <f t="shared" si="53"/>
        <v>3.228382913836754E-2</v>
      </c>
      <c r="K53" s="120">
        <f t="shared" si="53"/>
        <v>0.16009749999770337</v>
      </c>
    </row>
    <row r="54" spans="1:11" x14ac:dyDescent="0.25">
      <c r="A54" s="139">
        <f t="shared" si="48"/>
        <v>5.4494741389983607E-3</v>
      </c>
      <c r="B54" s="139">
        <f t="shared" si="49"/>
        <v>8.1278933203033824E-2</v>
      </c>
      <c r="C54" s="160">
        <f t="shared" si="50"/>
        <v>3.4872138372678059E-2</v>
      </c>
      <c r="D54" s="160">
        <f t="shared" si="51"/>
        <v>1.7752505346387358E-2</v>
      </c>
      <c r="E54" s="50" t="s">
        <v>342</v>
      </c>
      <c r="F54" s="119">
        <f>(F67/SUM(F72:F74))*100%</f>
        <v>1.4780251986263943E-2</v>
      </c>
      <c r="G54" s="119">
        <f t="shared" ref="G54:K54" si="54">(G67/SUM(G72:G74))*100%</f>
        <v>2.0333556908632054E-2</v>
      </c>
      <c r="H54" s="119">
        <f t="shared" si="54"/>
        <v>1.5171453784142658E-2</v>
      </c>
      <c r="I54" s="119">
        <f t="shared" si="54"/>
        <v>5.4494741389983607E-3</v>
      </c>
      <c r="J54" s="119">
        <f t="shared" si="54"/>
        <v>7.221916021499751E-2</v>
      </c>
      <c r="K54" s="120">
        <f t="shared" si="54"/>
        <v>8.1278933203033824E-2</v>
      </c>
    </row>
    <row r="55" spans="1:11" x14ac:dyDescent="0.25">
      <c r="A55" s="139">
        <f t="shared" si="48"/>
        <v>7.0785718767656432E-3</v>
      </c>
      <c r="B55" s="139">
        <f t="shared" si="49"/>
        <v>9.3860058809956126E-2</v>
      </c>
      <c r="C55" s="160">
        <f t="shared" si="50"/>
        <v>4.5374628818543448E-2</v>
      </c>
      <c r="D55" s="160">
        <f t="shared" si="51"/>
        <v>2.9586752343467138E-2</v>
      </c>
      <c r="E55" s="50" t="s">
        <v>343</v>
      </c>
      <c r="F55" s="119">
        <f>((F72-F76)/F76)*100%</f>
        <v>2.3665985386919594E-2</v>
      </c>
      <c r="G55" s="119">
        <f t="shared" ref="G55:K57" si="55">((G72-G76)/G76)*100%</f>
        <v>3.2563121296364829E-2</v>
      </c>
      <c r="H55" s="119">
        <f t="shared" si="55"/>
        <v>2.6610383390569446E-2</v>
      </c>
      <c r="I55" s="119">
        <f t="shared" si="55"/>
        <v>7.0785718767656432E-3</v>
      </c>
      <c r="J55" s="119">
        <f t="shared" si="55"/>
        <v>9.3860058809956126E-2</v>
      </c>
      <c r="K55" s="120">
        <f t="shared" si="55"/>
        <v>8.8469652150685044E-2</v>
      </c>
    </row>
    <row r="56" spans="1:11" x14ac:dyDescent="0.25">
      <c r="A56" s="139">
        <f t="shared" si="48"/>
        <v>0</v>
      </c>
      <c r="B56" s="139">
        <f t="shared" si="49"/>
        <v>0</v>
      </c>
      <c r="C56" s="160">
        <f t="shared" si="50"/>
        <v>0</v>
      </c>
      <c r="D56" s="160">
        <f t="shared" si="51"/>
        <v>0</v>
      </c>
      <c r="E56" s="50" t="s">
        <v>344</v>
      </c>
      <c r="F56" s="119">
        <f>((F73-F77)/F77)*100%</f>
        <v>0</v>
      </c>
      <c r="G56" s="119">
        <f t="shared" si="55"/>
        <v>0</v>
      </c>
      <c r="H56" s="177"/>
      <c r="I56" s="177"/>
      <c r="J56" s="177"/>
      <c r="K56" s="178"/>
    </row>
    <row r="57" spans="1:11" x14ac:dyDescent="0.25">
      <c r="A57" s="139">
        <f t="shared" si="48"/>
        <v>-2.2465578926384636E-2</v>
      </c>
      <c r="B57" s="139">
        <f t="shared" si="49"/>
        <v>0</v>
      </c>
      <c r="C57" s="160">
        <f t="shared" si="50"/>
        <v>-1.0787272203479647E-2</v>
      </c>
      <c r="D57" s="160">
        <f t="shared" si="51"/>
        <v>-1.4658615272591106E-2</v>
      </c>
      <c r="E57" s="50" t="s">
        <v>346</v>
      </c>
      <c r="F57" s="119">
        <f>((F74-F78)/F78)*100%</f>
        <v>-1.4658615272591106E-2</v>
      </c>
      <c r="G57" s="119">
        <f t="shared" si="55"/>
        <v>-1.6812166818422496E-2</v>
      </c>
      <c r="H57" s="119">
        <f t="shared" si="55"/>
        <v>-2.2465578926384636E-2</v>
      </c>
      <c r="I57" s="119">
        <f t="shared" si="55"/>
        <v>0</v>
      </c>
      <c r="J57" s="119">
        <f t="shared" si="55"/>
        <v>0</v>
      </c>
      <c r="K57" s="178"/>
    </row>
    <row r="58" spans="1:11" x14ac:dyDescent="0.25">
      <c r="A58" s="139">
        <f t="shared" si="48"/>
        <v>1.0115783253131463E-2</v>
      </c>
      <c r="B58" s="139">
        <f t="shared" si="49"/>
        <v>7.8286226131607073E-2</v>
      </c>
      <c r="C58" s="155">
        <f t="shared" si="50"/>
        <v>3.4398423343378885E-2</v>
      </c>
      <c r="D58" s="156">
        <f t="shared" si="51"/>
        <v>2.1687196233770866E-2</v>
      </c>
      <c r="E58" s="50" t="s">
        <v>356</v>
      </c>
      <c r="F58" s="71">
        <f>F68/(F70+F71+F72+F73+F74+F75)</f>
        <v>1.4900321238352138E-2</v>
      </c>
      <c r="G58" s="71">
        <f t="shared" ref="G58:K58" si="56">G68/(G70+G71+G72+G73+G74)</f>
        <v>1.7609894847072712E-2</v>
      </c>
      <c r="H58" s="71">
        <f t="shared" si="56"/>
        <v>2.5764497620469021E-2</v>
      </c>
      <c r="I58" s="71">
        <f t="shared" si="56"/>
        <v>1.0115783253131463E-2</v>
      </c>
      <c r="J58" s="71">
        <f t="shared" si="56"/>
        <v>5.9713816969640891E-2</v>
      </c>
      <c r="K58" s="72">
        <f t="shared" si="56"/>
        <v>7.8286226131607073E-2</v>
      </c>
    </row>
    <row r="59" spans="1:11" x14ac:dyDescent="0.25">
      <c r="A59" s="139">
        <f t="shared" si="48"/>
        <v>1.0080389326056396E-2</v>
      </c>
      <c r="B59" s="139">
        <f t="shared" si="49"/>
        <v>7.8226980760111545E-2</v>
      </c>
      <c r="C59" s="155">
        <f t="shared" si="50"/>
        <v>3.4362606490815427E-2</v>
      </c>
      <c r="D59" s="156">
        <f t="shared" si="51"/>
        <v>2.1686831630575013E-2</v>
      </c>
      <c r="E59" s="50" t="s">
        <v>361</v>
      </c>
      <c r="F59" s="71">
        <f>F69/(F70+F71+F72+F73+F74+F75)</f>
        <v>1.4877006490255081E-2</v>
      </c>
      <c r="G59" s="71">
        <f t="shared" ref="G59:K59" si="57">G69/(G70+G71+G72+G73+G74+G75)</f>
        <v>1.7609165640681008E-2</v>
      </c>
      <c r="H59" s="71">
        <f t="shared" si="57"/>
        <v>2.5764497620469021E-2</v>
      </c>
      <c r="I59" s="71">
        <f t="shared" si="57"/>
        <v>1.0080389326056396E-2</v>
      </c>
      <c r="J59" s="71">
        <f t="shared" si="57"/>
        <v>5.9617599107319473E-2</v>
      </c>
      <c r="K59" s="72">
        <f t="shared" si="57"/>
        <v>7.8226980760111545E-2</v>
      </c>
    </row>
    <row r="60" spans="1:11" ht="26.4" x14ac:dyDescent="0.25">
      <c r="A60" s="139">
        <f t="shared" si="48"/>
        <v>-0.22303424396125188</v>
      </c>
      <c r="B60" s="139">
        <f t="shared" si="49"/>
        <v>0.1485590417497184</v>
      </c>
      <c r="C60" s="160">
        <f t="shared" si="50"/>
        <v>-8.3340939792805144E-2</v>
      </c>
      <c r="D60" s="160">
        <f t="shared" si="51"/>
        <v>-0.17545780362605248</v>
      </c>
      <c r="E60" s="50" t="s">
        <v>372</v>
      </c>
      <c r="F60" s="119">
        <f>F65/F79*100%</f>
        <v>-0.22303424396125188</v>
      </c>
      <c r="G60" s="119">
        <f t="shared" ref="G60:K60" si="58">G65/G79*100%</f>
        <v>-0.17539627753966097</v>
      </c>
      <c r="H60" s="119">
        <f t="shared" si="58"/>
        <v>-0.17551932971244399</v>
      </c>
      <c r="I60" s="119">
        <f t="shared" si="58"/>
        <v>-0.19178740273846526</v>
      </c>
      <c r="J60" s="119">
        <f t="shared" si="58"/>
        <v>0.11713257344527285</v>
      </c>
      <c r="K60" s="120">
        <f t="shared" si="58"/>
        <v>0.1485590417497184</v>
      </c>
    </row>
    <row r="61" spans="1:11" x14ac:dyDescent="0.25">
      <c r="A61" s="139">
        <f t="shared" si="48"/>
        <v>1.6998168936923453E-2</v>
      </c>
      <c r="B61" s="139">
        <f t="shared" si="49"/>
        <v>0.14779172717143685</v>
      </c>
      <c r="C61" s="155">
        <f t="shared" si="50"/>
        <v>6.5257080273976156E-2</v>
      </c>
      <c r="D61" s="156">
        <f t="shared" si="51"/>
        <v>3.9847868751140089E-2</v>
      </c>
      <c r="E61" s="50" t="s">
        <v>373</v>
      </c>
      <c r="F61" s="71">
        <f>F69/F79</f>
        <v>3.2862604141180564E-2</v>
      </c>
      <c r="G61" s="71">
        <f t="shared" ref="G61:K61" si="59">G69/G79</f>
        <v>3.1756532983714836E-2</v>
      </c>
      <c r="H61" s="71">
        <f t="shared" si="59"/>
        <v>4.6833133361099615E-2</v>
      </c>
      <c r="I61" s="71">
        <f t="shared" si="59"/>
        <v>1.6998168936923453E-2</v>
      </c>
      <c r="J61" s="71">
        <f t="shared" si="59"/>
        <v>0.11530031504950164</v>
      </c>
      <c r="K61" s="72">
        <f t="shared" si="59"/>
        <v>0.14779172717143685</v>
      </c>
    </row>
    <row r="62" spans="1:11" x14ac:dyDescent="0.25">
      <c r="A62" s="139">
        <f t="shared" si="48"/>
        <v>-0.85650759818939193</v>
      </c>
      <c r="B62" s="139">
        <f t="shared" si="49"/>
        <v>0.14983343015957212</v>
      </c>
      <c r="C62" s="155">
        <f t="shared" si="50"/>
        <v>-0.35203705968678012</v>
      </c>
      <c r="D62" s="156">
        <f t="shared" si="51"/>
        <v>-0.35648071123583736</v>
      </c>
      <c r="E62" s="50" t="s">
        <v>374</v>
      </c>
      <c r="F62" s="71">
        <f>F69/F80</f>
        <v>0.11414494754426972</v>
      </c>
      <c r="G62" s="71">
        <f>G66/G80</f>
        <v>-0.80673171516345554</v>
      </c>
      <c r="H62" s="71">
        <f>H66/H80</f>
        <v>-0.75102631667510555</v>
      </c>
      <c r="I62" s="71">
        <f>I66/I80</f>
        <v>-0.85650759818939193</v>
      </c>
      <c r="J62" s="71">
        <f>J66/J80</f>
        <v>3.8064894203430878E-2</v>
      </c>
      <c r="K62" s="72">
        <f>K66/K80</f>
        <v>0.14983343015957212</v>
      </c>
    </row>
    <row r="63" spans="1:11" ht="13.8" thickBot="1" x14ac:dyDescent="0.3">
      <c r="A63" s="139">
        <f t="shared" si="48"/>
        <v>-0.82712284610224929</v>
      </c>
      <c r="B63" s="139">
        <f t="shared" si="49"/>
        <v>0.52886686911018799</v>
      </c>
      <c r="C63" s="155">
        <f t="shared" si="50"/>
        <v>-0.32600552769273183</v>
      </c>
      <c r="D63" s="156">
        <f t="shared" si="51"/>
        <v>-0.68786283596356523</v>
      </c>
      <c r="E63" s="51" t="s">
        <v>302</v>
      </c>
      <c r="F63" s="73">
        <f t="shared" ref="F63:K63" si="60">F65/(F80+F81)</f>
        <v>-0.77468699583764589</v>
      </c>
      <c r="G63" s="73">
        <f t="shared" si="60"/>
        <v>-0.7019719165195355</v>
      </c>
      <c r="H63" s="73">
        <f t="shared" si="60"/>
        <v>-0.67375375540759508</v>
      </c>
      <c r="I63" s="73">
        <f t="shared" si="60"/>
        <v>-0.82712284610224929</v>
      </c>
      <c r="J63" s="73">
        <f t="shared" si="60"/>
        <v>0.49263547860044671</v>
      </c>
      <c r="K63" s="74">
        <f t="shared" si="60"/>
        <v>0.52886686911018799</v>
      </c>
    </row>
    <row r="65" spans="5:11" x14ac:dyDescent="0.25">
      <c r="E65" s="52" t="s">
        <v>360</v>
      </c>
      <c r="F65" s="76">
        <f>F97</f>
        <v>-1797225.18</v>
      </c>
      <c r="G65" s="76">
        <f t="shared" ref="G65:K65" si="61">G97</f>
        <v>-1467128.95</v>
      </c>
      <c r="H65" s="76">
        <f t="shared" si="61"/>
        <v>-1353553.11</v>
      </c>
      <c r="I65" s="76">
        <f t="shared" si="61"/>
        <v>-1452462.49</v>
      </c>
      <c r="J65" s="76">
        <f t="shared" si="61"/>
        <v>845360.56</v>
      </c>
      <c r="K65" s="76">
        <f t="shared" si="61"/>
        <v>1027287.65</v>
      </c>
    </row>
    <row r="66" spans="5:11" ht="26.4" x14ac:dyDescent="0.25">
      <c r="E66" s="52" t="s">
        <v>352</v>
      </c>
      <c r="F66" s="76">
        <f>F95</f>
        <v>-1987518.37</v>
      </c>
      <c r="G66" s="76">
        <f t="shared" ref="G66:K66" si="62">G95</f>
        <v>-1686078.07</v>
      </c>
      <c r="H66" s="76">
        <f t="shared" si="62"/>
        <v>-1508791.6</v>
      </c>
      <c r="I66" s="76">
        <f t="shared" si="62"/>
        <v>-1504063.35</v>
      </c>
      <c r="J66" s="76">
        <f t="shared" si="62"/>
        <v>65319.21</v>
      </c>
      <c r="K66" s="76">
        <f t="shared" si="62"/>
        <v>291041.17</v>
      </c>
    </row>
    <row r="67" spans="5:11" x14ac:dyDescent="0.25">
      <c r="E67" s="43" t="s">
        <v>345</v>
      </c>
      <c r="F67" s="76">
        <f>F92</f>
        <v>190293.19</v>
      </c>
      <c r="G67" s="76">
        <f t="shared" ref="G67:K67" si="63">G92</f>
        <v>218949.12</v>
      </c>
      <c r="H67" s="76">
        <f t="shared" si="63"/>
        <v>155238.49</v>
      </c>
      <c r="I67" s="76">
        <f t="shared" si="63"/>
        <v>51600.86</v>
      </c>
      <c r="J67" s="76">
        <f t="shared" si="63"/>
        <v>780041.35</v>
      </c>
      <c r="K67" s="76">
        <f t="shared" si="63"/>
        <v>736246.48</v>
      </c>
    </row>
    <row r="68" spans="5:11" x14ac:dyDescent="0.25">
      <c r="E68" s="43" t="s">
        <v>341</v>
      </c>
      <c r="F68" s="76">
        <f>F102</f>
        <v>265224.11</v>
      </c>
      <c r="G68" s="76">
        <f t="shared" ref="G68:K68" si="64">G102</f>
        <v>265643.37</v>
      </c>
      <c r="H68" s="76">
        <f t="shared" si="64"/>
        <v>361163.26</v>
      </c>
      <c r="I68" s="76">
        <f t="shared" si="64"/>
        <v>129184.14</v>
      </c>
      <c r="J68" s="76">
        <f t="shared" si="64"/>
        <v>833479.92</v>
      </c>
      <c r="K68" s="76">
        <f t="shared" si="64"/>
        <v>1022755.66</v>
      </c>
    </row>
    <row r="69" spans="5:11" x14ac:dyDescent="0.25">
      <c r="E69" s="43" t="s">
        <v>315</v>
      </c>
      <c r="F69" s="76">
        <f>F104</f>
        <v>264809.11</v>
      </c>
      <c r="G69" s="76">
        <f t="shared" ref="G69:K69" si="65">G104</f>
        <v>265632.37</v>
      </c>
      <c r="H69" s="76">
        <f t="shared" si="65"/>
        <v>361163.26</v>
      </c>
      <c r="I69" s="76">
        <f t="shared" si="65"/>
        <v>128732.14</v>
      </c>
      <c r="J69" s="76">
        <f t="shared" si="65"/>
        <v>832136.92</v>
      </c>
      <c r="K69" s="76">
        <f t="shared" si="65"/>
        <v>1021981.66</v>
      </c>
    </row>
    <row r="70" spans="5:11" x14ac:dyDescent="0.25">
      <c r="E70" s="43" t="s">
        <v>358</v>
      </c>
      <c r="F70" s="76">
        <f>F93</f>
        <v>2842428.71</v>
      </c>
      <c r="G70" s="76">
        <f t="shared" ref="G70:K70" si="66">G93</f>
        <v>2576147.21</v>
      </c>
      <c r="H70" s="76">
        <f t="shared" si="66"/>
        <v>2063498.02</v>
      </c>
      <c r="I70" s="76">
        <f t="shared" si="66"/>
        <v>1712049.26</v>
      </c>
      <c r="J70" s="76">
        <f t="shared" si="66"/>
        <v>2023279.51</v>
      </c>
      <c r="K70" s="76">
        <f t="shared" si="66"/>
        <v>1817899.53</v>
      </c>
    </row>
    <row r="71" spans="5:11" x14ac:dyDescent="0.25">
      <c r="E71" s="43" t="s">
        <v>359</v>
      </c>
      <c r="F71" s="76">
        <f>F98</f>
        <v>2082636.19</v>
      </c>
      <c r="G71" s="76">
        <f t="shared" ref="G71:K71" si="67">G98</f>
        <v>1740874.14</v>
      </c>
      <c r="H71" s="76">
        <f t="shared" si="67"/>
        <v>1722092.21</v>
      </c>
      <c r="I71" s="76">
        <f t="shared" si="67"/>
        <v>1589541.78</v>
      </c>
      <c r="J71" s="76">
        <f t="shared" si="67"/>
        <v>1133597.29</v>
      </c>
      <c r="K71" s="76">
        <f t="shared" si="67"/>
        <v>2188142.69</v>
      </c>
    </row>
    <row r="72" spans="5:11" x14ac:dyDescent="0.25">
      <c r="E72" s="43" t="s">
        <v>347</v>
      </c>
      <c r="F72" s="76">
        <f>F85</f>
        <v>10035916.18</v>
      </c>
      <c r="G72" s="76">
        <f t="shared" ref="G72:K72" si="68">G85</f>
        <v>8279998.1100000003</v>
      </c>
      <c r="H72" s="76">
        <f t="shared" si="68"/>
        <v>7983137.1799999997</v>
      </c>
      <c r="I72" s="76">
        <f t="shared" si="68"/>
        <v>7341328.3499999996</v>
      </c>
      <c r="J72" s="76">
        <f t="shared" si="68"/>
        <v>9090726</v>
      </c>
      <c r="K72" s="76">
        <f t="shared" si="68"/>
        <v>9058269.4800000004</v>
      </c>
    </row>
    <row r="73" spans="5:11" x14ac:dyDescent="0.25">
      <c r="E73" s="43" t="s">
        <v>348</v>
      </c>
      <c r="F73" s="76">
        <f>F86</f>
        <v>34140</v>
      </c>
      <c r="G73" s="76">
        <f t="shared" ref="G73:K73" si="69">G86</f>
        <v>21706</v>
      </c>
      <c r="H73" s="76">
        <f t="shared" si="69"/>
        <v>0</v>
      </c>
      <c r="I73" s="76">
        <f t="shared" si="69"/>
        <v>0</v>
      </c>
      <c r="J73" s="76">
        <f t="shared" si="69"/>
        <v>0</v>
      </c>
      <c r="K73" s="76">
        <f t="shared" si="69"/>
        <v>0</v>
      </c>
    </row>
    <row r="74" spans="5:11" x14ac:dyDescent="0.25">
      <c r="E74" s="43" t="s">
        <v>349</v>
      </c>
      <c r="F74" s="76">
        <f>F87</f>
        <v>2804771</v>
      </c>
      <c r="G74" s="76">
        <f t="shared" ref="G74:K74" si="70">G87</f>
        <v>2466167</v>
      </c>
      <c r="H74" s="76">
        <f t="shared" si="70"/>
        <v>2249138</v>
      </c>
      <c r="I74" s="76">
        <f t="shared" si="70"/>
        <v>2127633</v>
      </c>
      <c r="J74" s="76">
        <f t="shared" si="70"/>
        <v>1710304.47</v>
      </c>
      <c r="K74" s="76">
        <f t="shared" si="70"/>
        <v>0</v>
      </c>
    </row>
    <row r="75" spans="5:11" x14ac:dyDescent="0.25">
      <c r="E75" s="43" t="s">
        <v>357</v>
      </c>
      <c r="F75" s="43">
        <f>F100</f>
        <v>0</v>
      </c>
      <c r="G75" s="43">
        <f t="shared" ref="G75:K75" si="71">G100</f>
        <v>0</v>
      </c>
      <c r="H75" s="43">
        <f t="shared" si="71"/>
        <v>0</v>
      </c>
      <c r="I75" s="43">
        <f t="shared" si="71"/>
        <v>0</v>
      </c>
      <c r="J75" s="43">
        <f t="shared" si="71"/>
        <v>0</v>
      </c>
      <c r="K75" s="43">
        <f t="shared" si="71"/>
        <v>0</v>
      </c>
    </row>
    <row r="76" spans="5:11" x14ac:dyDescent="0.25">
      <c r="E76" s="43" t="s">
        <v>353</v>
      </c>
      <c r="F76" s="76">
        <f>F89</f>
        <v>9803897.2899999991</v>
      </c>
      <c r="G76" s="76">
        <f t="shared" ref="G76:K76" si="72">G89</f>
        <v>8018878.4000000004</v>
      </c>
      <c r="H76" s="76">
        <f t="shared" si="72"/>
        <v>7776209.2699999996</v>
      </c>
      <c r="I76" s="76">
        <f t="shared" si="72"/>
        <v>7289727.4900000002</v>
      </c>
      <c r="J76" s="76">
        <f t="shared" si="72"/>
        <v>8310684.6500000004</v>
      </c>
      <c r="K76" s="76">
        <f t="shared" si="72"/>
        <v>8322023</v>
      </c>
    </row>
    <row r="77" spans="5:11" x14ac:dyDescent="0.25">
      <c r="E77" s="43" t="s">
        <v>354</v>
      </c>
      <c r="F77" s="76">
        <f>F90</f>
        <v>34140</v>
      </c>
      <c r="G77" s="76">
        <f t="shared" ref="G77:K77" si="73">G90</f>
        <v>21706</v>
      </c>
      <c r="H77" s="76">
        <f t="shared" si="73"/>
        <v>0</v>
      </c>
      <c r="I77" s="76">
        <f t="shared" si="73"/>
        <v>0</v>
      </c>
      <c r="J77" s="76">
        <f t="shared" si="73"/>
        <v>0</v>
      </c>
      <c r="K77" s="76">
        <f t="shared" si="73"/>
        <v>0</v>
      </c>
    </row>
    <row r="78" spans="5:11" x14ac:dyDescent="0.25">
      <c r="E78" s="43" t="s">
        <v>355</v>
      </c>
      <c r="F78" s="76">
        <f>F91</f>
        <v>2846496.7</v>
      </c>
      <c r="G78" s="76">
        <f t="shared" ref="G78:K78" si="74">G91</f>
        <v>2508337.59</v>
      </c>
      <c r="H78" s="76">
        <f t="shared" si="74"/>
        <v>2300827.42</v>
      </c>
      <c r="I78" s="76">
        <f t="shared" si="74"/>
        <v>2127633</v>
      </c>
      <c r="J78" s="76">
        <f t="shared" si="74"/>
        <v>1710304.47</v>
      </c>
      <c r="K78" s="76">
        <f t="shared" si="74"/>
        <v>0</v>
      </c>
    </row>
    <row r="79" spans="5:11" x14ac:dyDescent="0.25">
      <c r="E79" s="43" t="s">
        <v>316</v>
      </c>
      <c r="F79" s="76">
        <f>F120</f>
        <v>8058068.3399999999</v>
      </c>
      <c r="G79" s="76">
        <f t="shared" ref="G79:K79" si="75">G120</f>
        <v>8364652.7199999997</v>
      </c>
      <c r="H79" s="76">
        <f t="shared" si="75"/>
        <v>7711703.96</v>
      </c>
      <c r="I79" s="76">
        <f t="shared" si="75"/>
        <v>7573294.54</v>
      </c>
      <c r="J79" s="76">
        <f t="shared" si="75"/>
        <v>7217126.1600000001</v>
      </c>
      <c r="K79" s="76">
        <f t="shared" si="75"/>
        <v>6915012.6299999999</v>
      </c>
    </row>
    <row r="80" spans="5:11" x14ac:dyDescent="0.25">
      <c r="E80" s="43" t="s">
        <v>311</v>
      </c>
      <c r="F80" s="76">
        <f>F122</f>
        <v>2319937.2000000002</v>
      </c>
      <c r="G80" s="76">
        <f t="shared" ref="G80:K80" si="76">G122</f>
        <v>2090010.89</v>
      </c>
      <c r="H80" s="76">
        <f t="shared" si="76"/>
        <v>2008973.01</v>
      </c>
      <c r="I80" s="76">
        <f t="shared" si="76"/>
        <v>1756042.04</v>
      </c>
      <c r="J80" s="76">
        <f t="shared" si="76"/>
        <v>1715996.1</v>
      </c>
      <c r="K80" s="76">
        <f t="shared" si="76"/>
        <v>1942431.47</v>
      </c>
    </row>
    <row r="81" spans="5:11" x14ac:dyDescent="0.25">
      <c r="E81" s="43" t="s">
        <v>317</v>
      </c>
      <c r="F81" s="43">
        <f>F129</f>
        <v>0</v>
      </c>
      <c r="G81" s="43">
        <f t="shared" ref="G81:K81" si="77">G129</f>
        <v>0</v>
      </c>
      <c r="H81" s="43">
        <f t="shared" si="77"/>
        <v>0</v>
      </c>
      <c r="I81" s="43">
        <f t="shared" si="77"/>
        <v>0</v>
      </c>
      <c r="J81" s="43">
        <f t="shared" si="77"/>
        <v>0</v>
      </c>
      <c r="K81" s="43">
        <f t="shared" si="77"/>
        <v>0</v>
      </c>
    </row>
    <row r="83" spans="5:11" x14ac:dyDescent="0.25">
      <c r="E83" s="55" t="s">
        <v>338</v>
      </c>
      <c r="F83" s="53">
        <v>2023</v>
      </c>
      <c r="G83" s="53">
        <v>2022</v>
      </c>
      <c r="H83" s="53">
        <v>2021</v>
      </c>
      <c r="I83" s="53">
        <v>2020</v>
      </c>
      <c r="J83" s="53">
        <v>2019</v>
      </c>
      <c r="K83" s="53">
        <v>2018</v>
      </c>
    </row>
    <row r="84" spans="5:11" x14ac:dyDescent="0.25">
      <c r="E84" s="38" t="s">
        <v>23</v>
      </c>
      <c r="F84" s="56">
        <v>12874827.18</v>
      </c>
      <c r="G84" s="57">
        <v>10767871.109999999</v>
      </c>
      <c r="H84" s="57">
        <v>10232275.18</v>
      </c>
      <c r="I84" s="57">
        <v>9468961.3499999996</v>
      </c>
      <c r="J84" s="56">
        <v>10801030.470000001</v>
      </c>
      <c r="K84" s="56">
        <v>9058269.4800000004</v>
      </c>
    </row>
    <row r="85" spans="5:11" x14ac:dyDescent="0.25">
      <c r="E85" s="38" t="s">
        <v>3</v>
      </c>
      <c r="F85" s="58">
        <v>10035916.18</v>
      </c>
      <c r="G85" s="59">
        <v>8279998.1100000003</v>
      </c>
      <c r="H85" s="59">
        <v>7983137.1799999997</v>
      </c>
      <c r="I85" s="59">
        <v>7341328.3499999996</v>
      </c>
      <c r="J85" s="58">
        <v>9090726</v>
      </c>
      <c r="K85" s="58">
        <v>9058269.4800000004</v>
      </c>
    </row>
    <row r="86" spans="5:11" x14ac:dyDescent="0.25">
      <c r="E86" s="38" t="s">
        <v>4</v>
      </c>
      <c r="F86" s="58">
        <v>34140</v>
      </c>
      <c r="G86" s="59">
        <v>21706</v>
      </c>
      <c r="H86" s="108">
        <v>0</v>
      </c>
      <c r="I86" s="108">
        <v>0</v>
      </c>
      <c r="J86" s="69">
        <v>0</v>
      </c>
      <c r="K86" s="69">
        <v>0</v>
      </c>
    </row>
    <row r="87" spans="5:11" x14ac:dyDescent="0.25">
      <c r="E87" s="38" t="s">
        <v>5</v>
      </c>
      <c r="F87" s="58">
        <v>2804771</v>
      </c>
      <c r="G87" s="59">
        <v>2466167</v>
      </c>
      <c r="H87" s="59">
        <v>2249138</v>
      </c>
      <c r="I87" s="59">
        <v>2127633</v>
      </c>
      <c r="J87" s="58">
        <v>1710304.47</v>
      </c>
      <c r="K87" s="69">
        <v>0</v>
      </c>
    </row>
    <row r="88" spans="5:11" x14ac:dyDescent="0.25">
      <c r="E88" s="38" t="s">
        <v>6</v>
      </c>
      <c r="F88" s="56">
        <v>12684533.99</v>
      </c>
      <c r="G88" s="57">
        <v>10548921.99</v>
      </c>
      <c r="H88" s="57">
        <v>10077036.689999999</v>
      </c>
      <c r="I88" s="57">
        <v>9417360.4900000002</v>
      </c>
      <c r="J88" s="56">
        <v>10020989.119999999</v>
      </c>
      <c r="K88" s="56">
        <v>8322023</v>
      </c>
    </row>
    <row r="89" spans="5:11" x14ac:dyDescent="0.25">
      <c r="E89" s="38" t="s">
        <v>7</v>
      </c>
      <c r="F89" s="58">
        <v>9803897.2899999991</v>
      </c>
      <c r="G89" s="59">
        <v>8018878.4000000004</v>
      </c>
      <c r="H89" s="59">
        <v>7776209.2699999996</v>
      </c>
      <c r="I89" s="59">
        <v>7289727.4900000002</v>
      </c>
      <c r="J89" s="58">
        <v>8310684.6500000004</v>
      </c>
      <c r="K89" s="58">
        <v>8322023</v>
      </c>
    </row>
    <row r="90" spans="5:11" x14ac:dyDescent="0.25">
      <c r="E90" s="38" t="s">
        <v>8</v>
      </c>
      <c r="F90" s="58">
        <v>34140</v>
      </c>
      <c r="G90" s="59">
        <v>21706</v>
      </c>
      <c r="H90" s="108">
        <v>0</v>
      </c>
      <c r="I90" s="108">
        <v>0</v>
      </c>
      <c r="J90" s="108">
        <v>0</v>
      </c>
      <c r="K90" s="108">
        <v>0</v>
      </c>
    </row>
    <row r="91" spans="5:11" x14ac:dyDescent="0.25">
      <c r="E91" s="38" t="s">
        <v>9</v>
      </c>
      <c r="F91" s="58">
        <v>2846496.7</v>
      </c>
      <c r="G91" s="59">
        <v>2508337.59</v>
      </c>
      <c r="H91" s="59">
        <v>2300827.42</v>
      </c>
      <c r="I91" s="59">
        <v>2127633</v>
      </c>
      <c r="J91" s="58">
        <v>1710304.47</v>
      </c>
      <c r="K91" s="69">
        <v>0</v>
      </c>
    </row>
    <row r="92" spans="5:11" x14ac:dyDescent="0.25">
      <c r="E92" s="38" t="s">
        <v>10</v>
      </c>
      <c r="F92" s="56">
        <v>190293.19</v>
      </c>
      <c r="G92" s="57">
        <v>218949.12</v>
      </c>
      <c r="H92" s="57">
        <v>155238.49</v>
      </c>
      <c r="I92" s="57">
        <v>51600.86</v>
      </c>
      <c r="J92" s="56">
        <v>780041.35</v>
      </c>
      <c r="K92" s="56">
        <v>736246.48</v>
      </c>
    </row>
    <row r="93" spans="5:11" x14ac:dyDescent="0.25">
      <c r="E93" s="38" t="s">
        <v>11</v>
      </c>
      <c r="F93" s="56">
        <v>2842428.71</v>
      </c>
      <c r="G93" s="57">
        <v>2576147.21</v>
      </c>
      <c r="H93" s="57">
        <v>2063498.02</v>
      </c>
      <c r="I93" s="57">
        <v>1712049.26</v>
      </c>
      <c r="J93" s="56">
        <v>2023279.51</v>
      </c>
      <c r="K93" s="56">
        <v>1817899.53</v>
      </c>
    </row>
    <row r="94" spans="5:11" x14ac:dyDescent="0.25">
      <c r="E94" s="38" t="s">
        <v>12</v>
      </c>
      <c r="F94" s="56">
        <v>4829947.08</v>
      </c>
      <c r="G94" s="57">
        <v>4262225.28</v>
      </c>
      <c r="H94" s="57">
        <v>3572289.62</v>
      </c>
      <c r="I94" s="57">
        <v>3216112.61</v>
      </c>
      <c r="J94" s="56">
        <v>1957960.3</v>
      </c>
      <c r="K94" s="56">
        <v>1526858.36</v>
      </c>
    </row>
    <row r="95" spans="5:11" x14ac:dyDescent="0.25">
      <c r="E95" s="38" t="s">
        <v>13</v>
      </c>
      <c r="F95" s="56">
        <v>-1987518.37</v>
      </c>
      <c r="G95" s="57">
        <v>-1686078.07</v>
      </c>
      <c r="H95" s="57">
        <v>-1508791.6</v>
      </c>
      <c r="I95" s="57">
        <v>-1504063.35</v>
      </c>
      <c r="J95" s="56">
        <v>65319.21</v>
      </c>
      <c r="K95" s="56">
        <v>291041.17</v>
      </c>
    </row>
    <row r="96" spans="5:11" x14ac:dyDescent="0.25">
      <c r="E96" s="38" t="s">
        <v>14</v>
      </c>
      <c r="F96" s="64">
        <v>0</v>
      </c>
      <c r="G96" s="109">
        <v>0</v>
      </c>
      <c r="H96" s="109">
        <v>0</v>
      </c>
      <c r="I96" s="109">
        <v>0</v>
      </c>
      <c r="J96" s="64">
        <v>0</v>
      </c>
      <c r="K96" s="64">
        <v>0</v>
      </c>
    </row>
    <row r="97" spans="5:11" x14ac:dyDescent="0.25">
      <c r="E97" s="38" t="s">
        <v>15</v>
      </c>
      <c r="F97" s="56">
        <v>-1797225.18</v>
      </c>
      <c r="G97" s="57">
        <v>-1467128.95</v>
      </c>
      <c r="H97" s="57">
        <v>-1353553.11</v>
      </c>
      <c r="I97" s="57">
        <v>-1452462.49</v>
      </c>
      <c r="J97" s="56">
        <v>845360.56</v>
      </c>
      <c r="K97" s="56">
        <v>1027287.65</v>
      </c>
    </row>
    <row r="98" spans="5:11" x14ac:dyDescent="0.25">
      <c r="E98" s="38" t="s">
        <v>16</v>
      </c>
      <c r="F98" s="56">
        <v>2082636.19</v>
      </c>
      <c r="G98" s="57">
        <v>1740874.14</v>
      </c>
      <c r="H98" s="57">
        <v>1722092.21</v>
      </c>
      <c r="I98" s="57">
        <v>1589541.78</v>
      </c>
      <c r="J98" s="56">
        <v>1133597.29</v>
      </c>
      <c r="K98" s="56">
        <v>2188142.69</v>
      </c>
    </row>
    <row r="99" spans="5:11" x14ac:dyDescent="0.25">
      <c r="E99" s="38" t="s">
        <v>17</v>
      </c>
      <c r="F99" s="56">
        <v>8942.73</v>
      </c>
      <c r="G99" s="109">
        <v>52.68</v>
      </c>
      <c r="H99" s="109">
        <v>57.14</v>
      </c>
      <c r="I99" s="109">
        <v>164.42</v>
      </c>
      <c r="J99" s="56">
        <v>1145287.28</v>
      </c>
      <c r="K99" s="56">
        <v>2188142.69</v>
      </c>
    </row>
    <row r="100" spans="5:11" x14ac:dyDescent="0.25">
      <c r="E100" s="38" t="s">
        <v>18</v>
      </c>
      <c r="F100" s="64">
        <v>0</v>
      </c>
      <c r="G100" s="109">
        <v>0</v>
      </c>
      <c r="H100" s="109">
        <v>0</v>
      </c>
      <c r="I100" s="109">
        <v>0</v>
      </c>
      <c r="J100" s="64">
        <v>0</v>
      </c>
      <c r="K100" s="64">
        <v>0</v>
      </c>
    </row>
    <row r="101" spans="5:11" x14ac:dyDescent="0.25">
      <c r="E101" s="38" t="s">
        <v>19</v>
      </c>
      <c r="F101" s="56">
        <v>11244.17</v>
      </c>
      <c r="G101" s="57">
        <v>8049.14</v>
      </c>
      <c r="H101" s="57">
        <v>7318.7</v>
      </c>
      <c r="I101" s="57">
        <v>7730.73</v>
      </c>
      <c r="J101" s="64">
        <v>190.65</v>
      </c>
      <c r="K101" s="56">
        <v>4531.99</v>
      </c>
    </row>
    <row r="102" spans="5:11" x14ac:dyDescent="0.25">
      <c r="E102" s="38" t="s">
        <v>20</v>
      </c>
      <c r="F102" s="56">
        <v>265224.11</v>
      </c>
      <c r="G102" s="57">
        <v>265643.37</v>
      </c>
      <c r="H102" s="57">
        <v>361163.26</v>
      </c>
      <c r="I102" s="57">
        <v>129184.14</v>
      </c>
      <c r="J102" s="56">
        <v>833479.92</v>
      </c>
      <c r="K102" s="56">
        <v>1022755.66</v>
      </c>
    </row>
    <row r="103" spans="5:11" x14ac:dyDescent="0.25">
      <c r="E103" s="38" t="s">
        <v>21</v>
      </c>
      <c r="F103" s="64">
        <v>415</v>
      </c>
      <c r="G103" s="109">
        <v>11</v>
      </c>
      <c r="H103" s="109">
        <v>0</v>
      </c>
      <c r="I103" s="109">
        <v>452</v>
      </c>
      <c r="J103" s="56">
        <v>1343</v>
      </c>
      <c r="K103" s="64">
        <v>774</v>
      </c>
    </row>
    <row r="104" spans="5:11" x14ac:dyDescent="0.25">
      <c r="E104" s="38" t="s">
        <v>22</v>
      </c>
      <c r="F104" s="56">
        <v>264809.11</v>
      </c>
      <c r="G104" s="57">
        <v>265632.37</v>
      </c>
      <c r="H104" s="57">
        <v>361163.26</v>
      </c>
      <c r="I104" s="57">
        <v>128732.14</v>
      </c>
      <c r="J104" s="56">
        <v>832136.92</v>
      </c>
      <c r="K104" s="56">
        <v>1021981.66</v>
      </c>
    </row>
    <row r="106" spans="5:11" x14ac:dyDescent="0.25">
      <c r="E106" s="117" t="s">
        <v>340</v>
      </c>
    </row>
    <row r="107" spans="5:11" x14ac:dyDescent="0.25">
      <c r="E107" s="39" t="s">
        <v>320</v>
      </c>
      <c r="F107" s="53">
        <v>2023</v>
      </c>
      <c r="G107" s="53">
        <v>2022</v>
      </c>
      <c r="H107" s="53">
        <v>2021</v>
      </c>
      <c r="I107" s="53">
        <v>2020</v>
      </c>
      <c r="J107" s="53">
        <v>2019</v>
      </c>
      <c r="K107" s="53">
        <v>2018</v>
      </c>
    </row>
    <row r="108" spans="5:11" x14ac:dyDescent="0.25">
      <c r="E108" s="40" t="s">
        <v>321</v>
      </c>
      <c r="F108" s="60">
        <v>4638783.53</v>
      </c>
      <c r="G108" s="60">
        <v>4949756.13</v>
      </c>
      <c r="H108" s="61">
        <v>4863854.0199999996</v>
      </c>
      <c r="I108" s="61">
        <v>5165653.2300000004</v>
      </c>
      <c r="J108" s="60">
        <v>5299493.82</v>
      </c>
      <c r="K108" s="60">
        <v>5495388.71</v>
      </c>
    </row>
    <row r="109" spans="5:11" ht="15" customHeight="1" x14ac:dyDescent="0.25">
      <c r="E109" s="41" t="s">
        <v>322</v>
      </c>
      <c r="F109" s="69">
        <v>0</v>
      </c>
      <c r="G109" s="69">
        <v>0</v>
      </c>
      <c r="H109" s="108">
        <v>0</v>
      </c>
      <c r="I109" s="108">
        <v>0</v>
      </c>
      <c r="J109" s="69">
        <v>0</v>
      </c>
      <c r="K109" s="69">
        <v>0</v>
      </c>
    </row>
    <row r="110" spans="5:11" ht="15" customHeight="1" x14ac:dyDescent="0.25">
      <c r="E110" s="41" t="s">
        <v>323</v>
      </c>
      <c r="F110" s="58">
        <v>4638783.53</v>
      </c>
      <c r="G110" s="58">
        <v>4949756.13</v>
      </c>
      <c r="H110" s="59">
        <v>4863854.0199999996</v>
      </c>
      <c r="I110" s="59">
        <v>5165653.2300000004</v>
      </c>
      <c r="J110" s="58">
        <v>5299493.82</v>
      </c>
      <c r="K110" s="58">
        <v>5495388.71</v>
      </c>
    </row>
    <row r="111" spans="5:11" ht="15" customHeight="1" x14ac:dyDescent="0.25">
      <c r="E111" s="41" t="s">
        <v>324</v>
      </c>
      <c r="F111" s="69">
        <v>0</v>
      </c>
      <c r="G111" s="69">
        <v>0</v>
      </c>
      <c r="H111" s="108">
        <v>0</v>
      </c>
      <c r="I111" s="108">
        <v>0</v>
      </c>
      <c r="J111" s="69">
        <v>0</v>
      </c>
      <c r="K111" s="69">
        <v>0</v>
      </c>
    </row>
    <row r="112" spans="5:11" ht="15" customHeight="1" x14ac:dyDescent="0.25">
      <c r="E112" s="41" t="s">
        <v>325</v>
      </c>
      <c r="F112" s="69">
        <v>0</v>
      </c>
      <c r="G112" s="69">
        <v>0</v>
      </c>
      <c r="H112" s="108">
        <v>0</v>
      </c>
      <c r="I112" s="108">
        <v>0</v>
      </c>
      <c r="J112" s="69">
        <v>0</v>
      </c>
      <c r="K112" s="69">
        <v>0</v>
      </c>
    </row>
    <row r="113" spans="5:11" ht="15" customHeight="1" x14ac:dyDescent="0.25">
      <c r="E113" s="41" t="s">
        <v>326</v>
      </c>
      <c r="F113" s="69">
        <v>0</v>
      </c>
      <c r="G113" s="69">
        <v>0</v>
      </c>
      <c r="H113" s="108">
        <v>0</v>
      </c>
      <c r="I113" s="108">
        <v>0</v>
      </c>
      <c r="J113" s="69">
        <v>0</v>
      </c>
      <c r="K113" s="69">
        <v>0</v>
      </c>
    </row>
    <row r="114" spans="5:11" x14ac:dyDescent="0.25">
      <c r="E114" s="40" t="s">
        <v>309</v>
      </c>
      <c r="F114" s="60">
        <v>3419284.81</v>
      </c>
      <c r="G114" s="60">
        <v>3414896.59</v>
      </c>
      <c r="H114" s="61">
        <v>2847849.94</v>
      </c>
      <c r="I114" s="61">
        <v>2407641.31</v>
      </c>
      <c r="J114" s="60">
        <v>1917632.34</v>
      </c>
      <c r="K114" s="60">
        <v>1419623.92</v>
      </c>
    </row>
    <row r="115" spans="5:11" x14ac:dyDescent="0.25">
      <c r="E115" s="41" t="s">
        <v>306</v>
      </c>
      <c r="F115" s="58">
        <v>58308.800000000003</v>
      </c>
      <c r="G115" s="58">
        <v>24524.49</v>
      </c>
      <c r="H115" s="59">
        <v>8507.1299999999992</v>
      </c>
      <c r="I115" s="59">
        <v>17722.47</v>
      </c>
      <c r="J115" s="58">
        <v>31096.720000000001</v>
      </c>
      <c r="K115" s="58">
        <v>32466.79</v>
      </c>
    </row>
    <row r="116" spans="5:11" ht="15" customHeight="1" x14ac:dyDescent="0.25">
      <c r="E116" s="41" t="s">
        <v>327</v>
      </c>
      <c r="F116" s="58">
        <v>270095.8</v>
      </c>
      <c r="G116" s="58">
        <v>227391.61</v>
      </c>
      <c r="H116" s="59">
        <v>135712.41</v>
      </c>
      <c r="I116" s="59">
        <v>120741.56</v>
      </c>
      <c r="J116" s="58">
        <v>103675.71</v>
      </c>
      <c r="K116" s="58">
        <v>141024.22</v>
      </c>
    </row>
    <row r="117" spans="5:11" ht="15" customHeight="1" x14ac:dyDescent="0.25">
      <c r="E117" s="41" t="s">
        <v>287</v>
      </c>
      <c r="F117" s="58">
        <v>3074516.54</v>
      </c>
      <c r="G117" s="58">
        <v>3144211.18</v>
      </c>
      <c r="H117" s="59">
        <v>2686517.39</v>
      </c>
      <c r="I117" s="59">
        <v>2250298.41</v>
      </c>
      <c r="J117" s="58">
        <v>1763620.1</v>
      </c>
      <c r="K117" s="58">
        <v>1229663.6100000001</v>
      </c>
    </row>
    <row r="118" spans="5:11" ht="15" customHeight="1" x14ac:dyDescent="0.25">
      <c r="E118" s="41" t="s">
        <v>328</v>
      </c>
      <c r="F118" s="58">
        <v>16363.67</v>
      </c>
      <c r="G118" s="58">
        <v>18769.310000000001</v>
      </c>
      <c r="H118" s="59">
        <v>17113.009999999998</v>
      </c>
      <c r="I118" s="59">
        <v>18878.87</v>
      </c>
      <c r="J118" s="58">
        <v>19239.810000000001</v>
      </c>
      <c r="K118" s="58">
        <v>16469.3</v>
      </c>
    </row>
    <row r="119" spans="5:11" ht="15" customHeight="1" x14ac:dyDescent="0.25">
      <c r="E119" s="40" t="s">
        <v>329</v>
      </c>
      <c r="F119" s="110">
        <v>0</v>
      </c>
      <c r="G119" s="110">
        <v>0</v>
      </c>
      <c r="H119" s="111">
        <v>0</v>
      </c>
      <c r="I119" s="111">
        <v>0</v>
      </c>
      <c r="J119" s="110">
        <v>0</v>
      </c>
      <c r="K119" s="110">
        <v>0</v>
      </c>
    </row>
    <row r="120" spans="5:11" x14ac:dyDescent="0.25">
      <c r="E120" s="40" t="s">
        <v>330</v>
      </c>
      <c r="F120" s="60">
        <v>8058068.3399999999</v>
      </c>
      <c r="G120" s="60">
        <v>8364652.7199999997</v>
      </c>
      <c r="H120" s="61">
        <v>7711703.96</v>
      </c>
      <c r="I120" s="61">
        <v>7573294.54</v>
      </c>
      <c r="J120" s="60">
        <v>7217126.1600000001</v>
      </c>
      <c r="K120" s="60">
        <v>6915012.6299999999</v>
      </c>
    </row>
    <row r="121" spans="5:11" x14ac:dyDescent="0.25">
      <c r="E121" s="39" t="s">
        <v>331</v>
      </c>
      <c r="F121" s="54"/>
      <c r="G121" s="54"/>
      <c r="H121" s="62"/>
      <c r="I121" s="62"/>
      <c r="J121" s="54"/>
      <c r="K121" s="54"/>
    </row>
    <row r="122" spans="5:11" x14ac:dyDescent="0.25">
      <c r="E122" s="40" t="s">
        <v>332</v>
      </c>
      <c r="F122" s="60">
        <v>2319937.2000000002</v>
      </c>
      <c r="G122" s="60">
        <v>2090010.89</v>
      </c>
      <c r="H122" s="61">
        <v>2008973.01</v>
      </c>
      <c r="I122" s="61">
        <v>1756042.04</v>
      </c>
      <c r="J122" s="60">
        <v>1715996.1</v>
      </c>
      <c r="K122" s="60">
        <v>1942431.47</v>
      </c>
    </row>
    <row r="123" spans="5:11" x14ac:dyDescent="0.25">
      <c r="E123" s="41" t="s">
        <v>333</v>
      </c>
      <c r="F123" s="58">
        <v>2055128.09</v>
      </c>
      <c r="G123" s="58">
        <v>1824378.52</v>
      </c>
      <c r="H123" s="59">
        <v>1647809.75</v>
      </c>
      <c r="I123" s="59">
        <v>1627309.9</v>
      </c>
      <c r="J123" s="58">
        <v>883859.18</v>
      </c>
      <c r="K123" s="58">
        <v>920449.81</v>
      </c>
    </row>
    <row r="124" spans="5:11" x14ac:dyDescent="0.25">
      <c r="E124" s="41" t="s">
        <v>334</v>
      </c>
      <c r="F124" s="69">
        <v>0</v>
      </c>
      <c r="G124" s="69">
        <v>0</v>
      </c>
      <c r="H124" s="108">
        <v>0</v>
      </c>
      <c r="I124" s="108">
        <v>0</v>
      </c>
      <c r="J124" s="69">
        <v>0</v>
      </c>
      <c r="K124" s="69">
        <v>0</v>
      </c>
    </row>
    <row r="125" spans="5:11" ht="15" customHeight="1" x14ac:dyDescent="0.25">
      <c r="E125" s="41" t="s">
        <v>335</v>
      </c>
      <c r="F125" s="69">
        <v>0</v>
      </c>
      <c r="G125" s="69">
        <v>0</v>
      </c>
      <c r="H125" s="108">
        <v>0</v>
      </c>
      <c r="I125" s="108">
        <v>0</v>
      </c>
      <c r="J125" s="69">
        <v>0</v>
      </c>
      <c r="K125" s="69">
        <v>0</v>
      </c>
    </row>
    <row r="126" spans="5:11" x14ac:dyDescent="0.25">
      <c r="E126" s="41" t="s">
        <v>336</v>
      </c>
      <c r="F126" s="58">
        <v>264809.11</v>
      </c>
      <c r="G126" s="58">
        <v>265632.37</v>
      </c>
      <c r="H126" s="59">
        <v>361163.26</v>
      </c>
      <c r="I126" s="59">
        <v>128732.14</v>
      </c>
      <c r="J126" s="58">
        <v>832136.92</v>
      </c>
      <c r="K126" s="58">
        <v>1021981.66</v>
      </c>
    </row>
    <row r="127" spans="5:11" ht="15" customHeight="1" x14ac:dyDescent="0.25">
      <c r="E127" s="40" t="s">
        <v>91</v>
      </c>
      <c r="F127" s="60">
        <v>5738131.1399999997</v>
      </c>
      <c r="G127" s="60">
        <v>6274641.8300000001</v>
      </c>
      <c r="H127" s="61">
        <v>5702730.9500000002</v>
      </c>
      <c r="I127" s="61">
        <v>5817252.5</v>
      </c>
      <c r="J127" s="60">
        <v>5501130.0599999996</v>
      </c>
      <c r="K127" s="60">
        <v>4972581.16</v>
      </c>
    </row>
    <row r="128" spans="5:11" ht="15" customHeight="1" x14ac:dyDescent="0.25">
      <c r="E128" s="41" t="s">
        <v>93</v>
      </c>
      <c r="F128" s="69">
        <v>0</v>
      </c>
      <c r="G128" s="69">
        <v>0</v>
      </c>
      <c r="H128" s="108">
        <v>0</v>
      </c>
      <c r="I128" s="108">
        <v>0</v>
      </c>
      <c r="J128" s="69">
        <v>0</v>
      </c>
      <c r="K128" s="69">
        <v>0</v>
      </c>
    </row>
    <row r="129" spans="5:11" ht="15" customHeight="1" x14ac:dyDescent="0.25">
      <c r="E129" s="41" t="s">
        <v>89</v>
      </c>
      <c r="F129" s="69">
        <v>0</v>
      </c>
      <c r="G129" s="69">
        <v>0</v>
      </c>
      <c r="H129" s="108">
        <v>0</v>
      </c>
      <c r="I129" s="108">
        <v>0</v>
      </c>
      <c r="J129" s="69">
        <v>0</v>
      </c>
      <c r="K129" s="69">
        <v>0</v>
      </c>
    </row>
    <row r="130" spans="5:11" ht="15" customHeight="1" x14ac:dyDescent="0.25">
      <c r="E130" s="41" t="s">
        <v>90</v>
      </c>
      <c r="F130" s="58">
        <v>1912298.93</v>
      </c>
      <c r="G130" s="58">
        <v>1993347.54</v>
      </c>
      <c r="H130" s="59">
        <v>1595591.22</v>
      </c>
      <c r="I130" s="59">
        <v>1291509.01</v>
      </c>
      <c r="J130" s="58">
        <v>1089891.53</v>
      </c>
      <c r="K130" s="58">
        <v>614084.41</v>
      </c>
    </row>
    <row r="131" spans="5:11" ht="15" customHeight="1" x14ac:dyDescent="0.25">
      <c r="E131" s="41" t="s">
        <v>88</v>
      </c>
      <c r="F131" s="58">
        <v>3825832.21</v>
      </c>
      <c r="G131" s="58">
        <v>4281294.29</v>
      </c>
      <c r="H131" s="59">
        <v>4107139.73</v>
      </c>
      <c r="I131" s="59">
        <v>4525743.49</v>
      </c>
      <c r="J131" s="58">
        <v>4411238.53</v>
      </c>
      <c r="K131" s="58">
        <v>4358496.75</v>
      </c>
    </row>
    <row r="132" spans="5:11" x14ac:dyDescent="0.25">
      <c r="E132" s="40" t="s">
        <v>337</v>
      </c>
      <c r="F132" s="60">
        <v>8058068.3399999999</v>
      </c>
      <c r="G132" s="60">
        <v>8364652.7199999997</v>
      </c>
      <c r="H132" s="61">
        <v>7711703.96</v>
      </c>
      <c r="I132" s="61">
        <v>7573294.54</v>
      </c>
      <c r="J132" s="60">
        <v>7217126.1600000001</v>
      </c>
      <c r="K132" s="60">
        <v>6915012.6299999999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5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5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5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5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5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5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5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5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5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5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5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5">
      <c r="E147" s="118" t="s">
        <v>50</v>
      </c>
      <c r="F147" s="68"/>
      <c r="G147" s="69"/>
      <c r="H147" s="70"/>
      <c r="I147" s="70"/>
      <c r="J147" s="66"/>
      <c r="K147" s="67"/>
    </row>
    <row r="148" spans="5:11" x14ac:dyDescent="0.25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5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5">
      <c r="E150" s="118" t="s">
        <v>74</v>
      </c>
      <c r="F150" s="68"/>
      <c r="G150" s="69"/>
      <c r="H150" s="70"/>
      <c r="I150" s="70"/>
      <c r="J150" s="66"/>
      <c r="K150" s="67"/>
    </row>
    <row r="151" spans="5:11" x14ac:dyDescent="0.25">
      <c r="E151" s="118" t="s">
        <v>75</v>
      </c>
      <c r="F151" s="68"/>
      <c r="G151" s="69"/>
      <c r="H151" s="70"/>
      <c r="I151" s="70"/>
      <c r="J151" s="66"/>
      <c r="K151" s="67"/>
    </row>
    <row r="152" spans="5:11" x14ac:dyDescent="0.25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5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5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5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5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5">
      <c r="E157" s="118" t="s">
        <v>78</v>
      </c>
      <c r="F157" s="68"/>
      <c r="G157" s="69"/>
      <c r="H157" s="70"/>
      <c r="I157" s="70"/>
      <c r="J157" s="66"/>
      <c r="K157" s="67"/>
    </row>
    <row r="158" spans="5:11" x14ac:dyDescent="0.25">
      <c r="E158" s="118" t="s">
        <v>79</v>
      </c>
      <c r="F158" s="68"/>
      <c r="G158" s="69"/>
      <c r="H158" s="70"/>
      <c r="I158" s="70"/>
      <c r="J158" s="66"/>
      <c r="K158" s="67"/>
    </row>
    <row r="159" spans="5:11" x14ac:dyDescent="0.25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5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5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5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5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5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5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5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5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5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5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5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5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5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5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5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5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5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5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  <ignoredErrors>
    <ignoredError sqref="F75 G75:K75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C97CD-E4F1-4250-ADDB-374364E8DA48}">
  <sheetPr>
    <tabColor theme="7" tint="0.79998168889431442"/>
  </sheetPr>
  <dimension ref="A1:L279"/>
  <sheetViews>
    <sheetView topLeftCell="A263" workbookViewId="0">
      <selection sqref="A1:L29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410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0.56775520161818727</v>
      </c>
      <c r="B4" s="139">
        <f>MAX(F4:K4)</f>
        <v>1.8407600166640214</v>
      </c>
      <c r="C4" s="155">
        <f>AVERAGE(F4:K4)</f>
        <v>1.3059166152024944</v>
      </c>
      <c r="D4" s="156">
        <f>MEDIAN(F4:K4)</f>
        <v>1.3089971566222265</v>
      </c>
      <c r="E4" s="47" t="s">
        <v>364</v>
      </c>
      <c r="F4" s="71">
        <f>SUM(F9:F12)/SUM(F13:F15)</f>
        <v>1.8407600166640214</v>
      </c>
      <c r="G4" s="71">
        <f t="shared" ref="G4:K4" si="0">SUM(G9:G12)/SUM(G13:G15)</f>
        <v>1.7942959992156107</v>
      </c>
      <c r="H4" s="71">
        <f t="shared" si="0"/>
        <v>1.2619407628137902</v>
      </c>
      <c r="I4" s="71">
        <f t="shared" si="0"/>
        <v>1.0146941604726951</v>
      </c>
      <c r="J4" s="71">
        <f t="shared" si="0"/>
        <v>1.3560535504306626</v>
      </c>
      <c r="K4" s="71">
        <f t="shared" si="0"/>
        <v>0.56775520161818727</v>
      </c>
    </row>
    <row r="5" spans="1:11" x14ac:dyDescent="0.25">
      <c r="A5" s="139">
        <f t="shared" ref="A5:A7" si="1">MIN(F5:K5)</f>
        <v>1.0613096136450766</v>
      </c>
      <c r="B5" s="139">
        <f t="shared" ref="B5:B7" si="2">MAX(F5:K5)</f>
        <v>2.254239959909754</v>
      </c>
      <c r="C5" s="155">
        <f t="shared" ref="C5:C7" si="3">AVERAGEIF(F5:K5,"&gt;0")</f>
        <v>1.6751027819010293</v>
      </c>
      <c r="D5" s="156">
        <f t="shared" ref="D5:D7" si="4">_xlfn.AGGREGATE(12,6,F5:K5)</f>
        <v>1.6937653179407406</v>
      </c>
      <c r="E5" s="47" t="s">
        <v>363</v>
      </c>
      <c r="F5" s="71">
        <f t="shared" ref="F5:K5" si="5">SUM(F9:F12)/F14</f>
        <v>2.1058621320827933</v>
      </c>
      <c r="G5" s="71">
        <f t="shared" si="5"/>
        <v>2.254239959909754</v>
      </c>
      <c r="H5" s="71">
        <f t="shared" si="5"/>
        <v>1.560978303315117</v>
      </c>
      <c r="I5" s="71">
        <f t="shared" si="5"/>
        <v>1.2416743498870717</v>
      </c>
      <c r="J5" s="71">
        <f t="shared" si="5"/>
        <v>1.8265523325663642</v>
      </c>
      <c r="K5" s="71">
        <f t="shared" si="5"/>
        <v>1.0613096136450766</v>
      </c>
    </row>
    <row r="6" spans="1:11" x14ac:dyDescent="0.25">
      <c r="A6" s="139">
        <f t="shared" si="1"/>
        <v>0.89766348133571106</v>
      </c>
      <c r="B6" s="139">
        <f t="shared" si="2"/>
        <v>1.8885437742585895</v>
      </c>
      <c r="C6" s="155">
        <f t="shared" si="3"/>
        <v>1.3846528177095321</v>
      </c>
      <c r="D6" s="156">
        <f t="shared" si="4"/>
        <v>1.376378898017325</v>
      </c>
      <c r="E6" s="47" t="s">
        <v>365</v>
      </c>
      <c r="F6" s="71">
        <f t="shared" ref="F6:K6" si="6">SUM(F10:F11)/F14</f>
        <v>1.8885437742585895</v>
      </c>
      <c r="G6" s="71">
        <f t="shared" si="6"/>
        <v>1.6352360658456662</v>
      </c>
      <c r="H6" s="71">
        <f t="shared" si="6"/>
        <v>1.288819321401073</v>
      </c>
      <c r="I6" s="71">
        <f t="shared" si="6"/>
        <v>1.1337157887825757</v>
      </c>
      <c r="J6" s="71">
        <f t="shared" si="6"/>
        <v>1.4639384746335771</v>
      </c>
      <c r="K6" s="71">
        <f t="shared" si="6"/>
        <v>0.89766348133571106</v>
      </c>
    </row>
    <row r="7" spans="1:11" ht="13.8" thickBot="1" x14ac:dyDescent="0.3">
      <c r="A7" s="139">
        <f t="shared" si="1"/>
        <v>0.13811451990252849</v>
      </c>
      <c r="B7" s="139">
        <f t="shared" si="2"/>
        <v>0.99230067257224275</v>
      </c>
      <c r="C7" s="155">
        <f t="shared" si="3"/>
        <v>0.59253846362228124</v>
      </c>
      <c r="D7" s="156">
        <f t="shared" si="4"/>
        <v>0.61678570204664973</v>
      </c>
      <c r="E7" s="49" t="s">
        <v>366</v>
      </c>
      <c r="F7" s="73">
        <f t="shared" ref="F7:K7" si="7">F11/F14</f>
        <v>0.13811451990252849</v>
      </c>
      <c r="G7" s="73">
        <f t="shared" si="7"/>
        <v>0.99230067257224275</v>
      </c>
      <c r="H7" s="73">
        <f t="shared" si="7"/>
        <v>0.56889308207778699</v>
      </c>
      <c r="I7" s="73">
        <f t="shared" si="7"/>
        <v>0.69492941686955223</v>
      </c>
      <c r="J7" s="73">
        <f t="shared" si="7"/>
        <v>0.66467832201551247</v>
      </c>
      <c r="K7" s="73">
        <f t="shared" si="7"/>
        <v>0.49631476829606458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77884.02</v>
      </c>
      <c r="G9" s="76">
        <f t="shared" ref="G9:K9" si="8">G127</f>
        <v>145268.4</v>
      </c>
      <c r="H9" s="76">
        <f t="shared" si="8"/>
        <v>63264.44</v>
      </c>
      <c r="I9" s="76">
        <f t="shared" si="8"/>
        <v>15530.53</v>
      </c>
      <c r="J9" s="76">
        <f t="shared" si="8"/>
        <v>39583.589999999997</v>
      </c>
      <c r="K9" s="76">
        <f t="shared" si="8"/>
        <v>20862.39</v>
      </c>
    </row>
    <row r="10" spans="1:11" x14ac:dyDescent="0.25">
      <c r="E10" s="43" t="s">
        <v>288</v>
      </c>
      <c r="F10" s="76">
        <f>F133</f>
        <v>867468.05</v>
      </c>
      <c r="G10" s="76">
        <f t="shared" ref="G10:K10" si="9">G133</f>
        <v>180643.05</v>
      </c>
      <c r="H10" s="76">
        <f t="shared" si="9"/>
        <v>246416.31</v>
      </c>
      <c r="I10" s="76">
        <f t="shared" si="9"/>
        <v>179443.42</v>
      </c>
      <c r="J10" s="76">
        <f t="shared" si="9"/>
        <v>138408.56</v>
      </c>
      <c r="K10" s="76">
        <f t="shared" si="9"/>
        <v>98074.31</v>
      </c>
    </row>
    <row r="11" spans="1:11" x14ac:dyDescent="0.25">
      <c r="E11" s="43" t="s">
        <v>287</v>
      </c>
      <c r="F11" s="76">
        <f>F151</f>
        <v>68446.03</v>
      </c>
      <c r="G11" s="76">
        <f t="shared" ref="G11:K11" si="10">G151</f>
        <v>278802.84999999998</v>
      </c>
      <c r="H11" s="76">
        <f t="shared" si="10"/>
        <v>194720.69</v>
      </c>
      <c r="I11" s="76">
        <f t="shared" si="10"/>
        <v>284194.13</v>
      </c>
      <c r="J11" s="76">
        <f t="shared" si="10"/>
        <v>115102.91</v>
      </c>
      <c r="K11" s="76">
        <f t="shared" si="10"/>
        <v>121280.39</v>
      </c>
    </row>
    <row r="12" spans="1:11" x14ac:dyDescent="0.25">
      <c r="E12" s="43" t="s">
        <v>290</v>
      </c>
      <c r="F12" s="76">
        <f>F168</f>
        <v>29813.41</v>
      </c>
      <c r="G12" s="76">
        <f t="shared" ref="G12:K12" si="11">G168</f>
        <v>28650.71</v>
      </c>
      <c r="H12" s="76">
        <f t="shared" si="11"/>
        <v>29890.12</v>
      </c>
      <c r="I12" s="76">
        <f t="shared" si="11"/>
        <v>28619.55</v>
      </c>
      <c r="J12" s="76">
        <f t="shared" si="11"/>
        <v>23210.560000000001</v>
      </c>
      <c r="K12" s="76">
        <f t="shared" si="11"/>
        <v>19126.48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495574.47</v>
      </c>
      <c r="G14" s="76">
        <f t="shared" ref="G14:K14" si="13">G202</f>
        <v>280966.09999999998</v>
      </c>
      <c r="H14" s="76">
        <f t="shared" si="13"/>
        <v>342279.94</v>
      </c>
      <c r="I14" s="76">
        <f t="shared" si="13"/>
        <v>408953.95</v>
      </c>
      <c r="J14" s="76">
        <f t="shared" si="13"/>
        <v>173170.85</v>
      </c>
      <c r="K14" s="76">
        <f t="shared" si="13"/>
        <v>244361.84</v>
      </c>
    </row>
    <row r="15" spans="1:11" x14ac:dyDescent="0.25">
      <c r="E15" s="43" t="s">
        <v>362</v>
      </c>
      <c r="F15" s="76">
        <f>F222</f>
        <v>71371.520000000004</v>
      </c>
      <c r="G15" s="76">
        <f t="shared" ref="G15:K15" si="14">G222</f>
        <v>72021.929999999993</v>
      </c>
      <c r="H15" s="76">
        <f t="shared" si="14"/>
        <v>81108.84</v>
      </c>
      <c r="I15" s="76">
        <f t="shared" si="14"/>
        <v>91480.22</v>
      </c>
      <c r="J15" s="76">
        <f t="shared" si="14"/>
        <v>60083.67</v>
      </c>
      <c r="K15" s="76">
        <f t="shared" si="14"/>
        <v>212425.82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22.682692852505745</v>
      </c>
      <c r="B19" s="152">
        <f t="shared" ref="B19:B25" si="16">MAX(F19:K19)</f>
        <v>103.21641690440799</v>
      </c>
      <c r="C19" s="156">
        <f>AVERAGE(F19:K19)</f>
        <v>43.334294068586622</v>
      </c>
      <c r="D19" s="156">
        <f>MEDIAN(F19:K19)</f>
        <v>33.253274113636529</v>
      </c>
      <c r="E19" s="47" t="s">
        <v>293</v>
      </c>
      <c r="F19" s="71">
        <f>F28/(F27/365)</f>
        <v>103.21641690440799</v>
      </c>
      <c r="G19" s="71">
        <f t="shared" ref="G19:K19" si="17">G28/(G27/365)</f>
        <v>25.511128427448167</v>
      </c>
      <c r="H19" s="71">
        <f t="shared" si="17"/>
        <v>42.08897799988479</v>
      </c>
      <c r="I19" s="71">
        <f t="shared" si="17"/>
        <v>38.335892118755751</v>
      </c>
      <c r="J19" s="71">
        <f t="shared" si="17"/>
        <v>28.170656108517303</v>
      </c>
      <c r="K19" s="71">
        <f t="shared" si="17"/>
        <v>22.682692852505745</v>
      </c>
    </row>
    <row r="20" spans="1:11" x14ac:dyDescent="0.25">
      <c r="A20" s="152">
        <f t="shared" si="15"/>
        <v>3.3179077986091645</v>
      </c>
      <c r="B20" s="152">
        <f t="shared" si="16"/>
        <v>20.51537996535107</v>
      </c>
      <c r="C20" s="156">
        <f t="shared" ref="C20:C25" si="18">AVERAGE(F20:K20)</f>
        <v>9.4646407357705087</v>
      </c>
      <c r="D20" s="156">
        <f t="shared" ref="D20:D25" si="19">MEDIAN(F20:K20)</f>
        <v>8.6618236596993761</v>
      </c>
      <c r="E20" s="121" t="s">
        <v>367</v>
      </c>
      <c r="F20" s="71">
        <f>F29/(F27/365)</f>
        <v>9.2670957489572672</v>
      </c>
      <c r="G20" s="71">
        <f t="shared" ref="G20:K20" si="20">G29/(G27/365)</f>
        <v>20.51537996535107</v>
      </c>
      <c r="H20" s="71">
        <f t="shared" si="20"/>
        <v>10.805841639845314</v>
      </c>
      <c r="I20" s="71">
        <f t="shared" si="20"/>
        <v>3.3179077986091645</v>
      </c>
      <c r="J20" s="71">
        <f t="shared" si="20"/>
        <v>8.0565515704414832</v>
      </c>
      <c r="K20" s="71">
        <f t="shared" si="20"/>
        <v>4.8250676914187549</v>
      </c>
    </row>
    <row r="21" spans="1:11" x14ac:dyDescent="0.25">
      <c r="A21" s="152">
        <f t="shared" si="15"/>
        <v>35.245915883884884</v>
      </c>
      <c r="B21" s="152">
        <f t="shared" si="16"/>
        <v>87.368009976286856</v>
      </c>
      <c r="C21" s="156">
        <f t="shared" si="18"/>
        <v>56.039749082416783</v>
      </c>
      <c r="D21" s="156">
        <f t="shared" si="19"/>
        <v>57.489537514819759</v>
      </c>
      <c r="E21" s="47" t="s">
        <v>368</v>
      </c>
      <c r="F21" s="71">
        <f>F30/(F27/365)</f>
        <v>58.966345910608496</v>
      </c>
      <c r="G21" s="71">
        <f t="shared" ref="G21:K21" si="21">G30/(G27/365)</f>
        <v>39.679147694080918</v>
      </c>
      <c r="H21" s="71">
        <f t="shared" si="21"/>
        <v>58.462903143310136</v>
      </c>
      <c r="I21" s="71">
        <f t="shared" si="21"/>
        <v>87.368009976286856</v>
      </c>
      <c r="J21" s="71">
        <f t="shared" si="21"/>
        <v>35.245915883884884</v>
      </c>
      <c r="K21" s="71">
        <f t="shared" si="21"/>
        <v>56.516171886329381</v>
      </c>
    </row>
    <row r="22" spans="1:11" x14ac:dyDescent="0.25">
      <c r="A22" s="152">
        <f t="shared" si="15"/>
        <v>-45.714210058921942</v>
      </c>
      <c r="B22" s="152">
        <f t="shared" si="16"/>
        <v>53.517166742756771</v>
      </c>
      <c r="C22" s="156">
        <f t="shared" si="18"/>
        <v>-3.2408142780596445</v>
      </c>
      <c r="D22" s="156">
        <f t="shared" si="19"/>
        <v>-2.2933958542530668</v>
      </c>
      <c r="E22" s="47" t="s">
        <v>294</v>
      </c>
      <c r="F22" s="71">
        <f>F19+F20-F21</f>
        <v>53.517166742756771</v>
      </c>
      <c r="G22" s="71">
        <f t="shared" ref="G22:K22" si="22">G19+G20-G21</f>
        <v>6.3473606987183189</v>
      </c>
      <c r="H22" s="71">
        <f t="shared" si="22"/>
        <v>-5.5680835035800342</v>
      </c>
      <c r="I22" s="71">
        <f t="shared" si="22"/>
        <v>-45.714210058921942</v>
      </c>
      <c r="J22" s="71">
        <f t="shared" si="22"/>
        <v>0.98129179507390063</v>
      </c>
      <c r="K22" s="71">
        <f t="shared" si="22"/>
        <v>-29.00841134240488</v>
      </c>
    </row>
    <row r="23" spans="1:11" x14ac:dyDescent="0.25">
      <c r="A23" s="152">
        <f t="shared" si="15"/>
        <v>0.99885276588685246</v>
      </c>
      <c r="B23" s="152">
        <f t="shared" si="16"/>
        <v>1.5908976489081257</v>
      </c>
      <c r="C23" s="156">
        <f t="shared" si="18"/>
        <v>1.2864475414022578</v>
      </c>
      <c r="D23" s="156">
        <f t="shared" si="19"/>
        <v>1.3100159110775174</v>
      </c>
      <c r="E23" s="47" t="s">
        <v>295</v>
      </c>
      <c r="F23" s="71">
        <f>F27/F31</f>
        <v>1.3127531526401155</v>
      </c>
      <c r="G23" s="71">
        <f t="shared" ref="G23:K23" si="23">G27/G31</f>
        <v>1.3072786695149192</v>
      </c>
      <c r="H23" s="71">
        <f t="shared" si="23"/>
        <v>1.1410967352912382</v>
      </c>
      <c r="I23" s="71">
        <f t="shared" si="23"/>
        <v>0.99885276588685246</v>
      </c>
      <c r="J23" s="71">
        <f t="shared" si="23"/>
        <v>1.3678062761722964</v>
      </c>
      <c r="K23" s="71">
        <f t="shared" si="23"/>
        <v>1.5908976489081257</v>
      </c>
    </row>
    <row r="24" spans="1:11" x14ac:dyDescent="0.25">
      <c r="A24" s="152">
        <f t="shared" si="15"/>
        <v>1.420583886211032</v>
      </c>
      <c r="B24" s="152">
        <f t="shared" si="16"/>
        <v>2.37218450525264</v>
      </c>
      <c r="C24" s="156">
        <f t="shared" si="18"/>
        <v>1.8920390561997269</v>
      </c>
      <c r="D24" s="156">
        <f t="shared" si="19"/>
        <v>1.8631015134783016</v>
      </c>
      <c r="E24" s="121" t="s">
        <v>369</v>
      </c>
      <c r="F24" s="71">
        <f>F27/F32</f>
        <v>2.37218450525264</v>
      </c>
      <c r="G24" s="71">
        <f t="shared" ref="G24:K24" si="24">G27/G32</f>
        <v>1.9234859139282496</v>
      </c>
      <c r="H24" s="71">
        <f t="shared" si="24"/>
        <v>1.5966168381060539</v>
      </c>
      <c r="I24" s="71">
        <f t="shared" si="24"/>
        <v>1.420583886211032</v>
      </c>
      <c r="J24" s="71">
        <f t="shared" si="24"/>
        <v>1.8027171130283537</v>
      </c>
      <c r="K24" s="71">
        <f t="shared" si="24"/>
        <v>2.2366460806720307</v>
      </c>
    </row>
    <row r="25" spans="1:11" ht="13.8" thickBot="1" x14ac:dyDescent="0.3">
      <c r="A25" s="152">
        <f t="shared" si="15"/>
        <v>2.9394001605060871</v>
      </c>
      <c r="B25" s="152">
        <f t="shared" si="16"/>
        <v>6.0852444500551908</v>
      </c>
      <c r="C25" s="156">
        <f t="shared" si="18"/>
        <v>4.3565139765802874</v>
      </c>
      <c r="D25" s="156">
        <f t="shared" si="19"/>
        <v>4.0401255535961891</v>
      </c>
      <c r="E25" s="49" t="s">
        <v>296</v>
      </c>
      <c r="F25" s="73">
        <f>F27/F33</f>
        <v>2.9394001605060871</v>
      </c>
      <c r="G25" s="73">
        <f t="shared" ref="G25:K25" si="25">G27/G33</f>
        <v>4.0806597604752426</v>
      </c>
      <c r="H25" s="73">
        <f t="shared" si="25"/>
        <v>3.9995913467171365</v>
      </c>
      <c r="I25" s="73">
        <f t="shared" si="25"/>
        <v>3.3645943482317597</v>
      </c>
      <c r="J25" s="73">
        <f t="shared" si="25"/>
        <v>5.6695937934963023</v>
      </c>
      <c r="K25" s="73">
        <f t="shared" si="25"/>
        <v>6.0852444500551908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3067591.84</v>
      </c>
      <c r="G27" s="76">
        <f t="shared" ref="G27:K27" si="26">G228</f>
        <v>2584547.11</v>
      </c>
      <c r="H27" s="76">
        <f t="shared" si="26"/>
        <v>2136947.9</v>
      </c>
      <c r="I27" s="76">
        <f t="shared" si="26"/>
        <v>1708499.39</v>
      </c>
      <c r="J27" s="76">
        <f t="shared" si="26"/>
        <v>1793324.38</v>
      </c>
      <c r="K27" s="76">
        <f t="shared" si="26"/>
        <v>1578169.02</v>
      </c>
    </row>
    <row r="28" spans="1:11" x14ac:dyDescent="0.25">
      <c r="E28" s="43" t="s">
        <v>305</v>
      </c>
      <c r="F28" s="76">
        <f>F133</f>
        <v>867468.05</v>
      </c>
      <c r="G28" s="76">
        <f t="shared" ref="G28:K28" si="27">G133</f>
        <v>180643.05</v>
      </c>
      <c r="H28" s="76">
        <f t="shared" si="27"/>
        <v>246416.31</v>
      </c>
      <c r="I28" s="76">
        <f t="shared" si="27"/>
        <v>179443.42</v>
      </c>
      <c r="J28" s="76">
        <f t="shared" si="27"/>
        <v>138408.56</v>
      </c>
      <c r="K28" s="76">
        <f t="shared" si="27"/>
        <v>98074.31</v>
      </c>
    </row>
    <row r="29" spans="1:11" x14ac:dyDescent="0.25">
      <c r="E29" s="43" t="s">
        <v>306</v>
      </c>
      <c r="F29" s="76">
        <f>F127</f>
        <v>77884.02</v>
      </c>
      <c r="G29" s="76">
        <f t="shared" ref="G29:K29" si="28">G127</f>
        <v>145268.4</v>
      </c>
      <c r="H29" s="76">
        <f t="shared" si="28"/>
        <v>63264.44</v>
      </c>
      <c r="I29" s="76">
        <f t="shared" si="28"/>
        <v>15530.53</v>
      </c>
      <c r="J29" s="76">
        <f t="shared" si="28"/>
        <v>39583.589999999997</v>
      </c>
      <c r="K29" s="76">
        <f t="shared" si="28"/>
        <v>20862.39</v>
      </c>
    </row>
    <row r="30" spans="1:11" x14ac:dyDescent="0.25">
      <c r="E30" s="43" t="s">
        <v>307</v>
      </c>
      <c r="F30" s="76">
        <f>F202</f>
        <v>495574.47</v>
      </c>
      <c r="G30" s="76">
        <f t="shared" ref="G30:K30" si="29">G202</f>
        <v>280966.09999999998</v>
      </c>
      <c r="H30" s="76">
        <f t="shared" si="29"/>
        <v>342279.94</v>
      </c>
      <c r="I30" s="76">
        <f t="shared" si="29"/>
        <v>408953.95</v>
      </c>
      <c r="J30" s="76">
        <f t="shared" si="29"/>
        <v>173170.85</v>
      </c>
      <c r="K30" s="76">
        <f t="shared" si="29"/>
        <v>244361.84</v>
      </c>
    </row>
    <row r="31" spans="1:11" x14ac:dyDescent="0.25">
      <c r="E31" s="43" t="s">
        <v>303</v>
      </c>
      <c r="F31" s="76">
        <f>F171</f>
        <v>2336762.12</v>
      </c>
      <c r="G31" s="76">
        <f t="shared" ref="G31:K31" si="30">G171</f>
        <v>1977043.74</v>
      </c>
      <c r="H31" s="76">
        <f t="shared" si="30"/>
        <v>1872714.06</v>
      </c>
      <c r="I31" s="76">
        <f t="shared" si="30"/>
        <v>1710461.69</v>
      </c>
      <c r="J31" s="76">
        <f t="shared" si="30"/>
        <v>1311095.3</v>
      </c>
      <c r="K31" s="76">
        <f t="shared" si="30"/>
        <v>991999.09</v>
      </c>
    </row>
    <row r="32" spans="1:11" x14ac:dyDescent="0.25">
      <c r="E32" s="43" t="s">
        <v>308</v>
      </c>
      <c r="F32" s="76">
        <f>F84</f>
        <v>1293150.6100000001</v>
      </c>
      <c r="G32" s="76">
        <f t="shared" ref="G32:K32" si="31">G84</f>
        <v>1343678.73</v>
      </c>
      <c r="H32" s="76">
        <f t="shared" si="31"/>
        <v>1338422.5</v>
      </c>
      <c r="I32" s="76">
        <f t="shared" si="31"/>
        <v>1202674.06</v>
      </c>
      <c r="J32" s="76">
        <f t="shared" si="31"/>
        <v>994789.68</v>
      </c>
      <c r="K32" s="76">
        <f t="shared" si="31"/>
        <v>705596.22</v>
      </c>
    </row>
    <row r="33" spans="1:11" x14ac:dyDescent="0.25">
      <c r="E33" s="43" t="s">
        <v>309</v>
      </c>
      <c r="F33" s="76">
        <f>F126</f>
        <v>1043611.51</v>
      </c>
      <c r="G33" s="76">
        <f t="shared" ref="G33:K33" si="32">G126</f>
        <v>633365.01</v>
      </c>
      <c r="H33" s="76">
        <f t="shared" si="32"/>
        <v>534291.56000000006</v>
      </c>
      <c r="I33" s="76">
        <f t="shared" si="32"/>
        <v>507787.63</v>
      </c>
      <c r="J33" s="76">
        <f t="shared" si="32"/>
        <v>316305.62</v>
      </c>
      <c r="K33" s="76">
        <f t="shared" si="32"/>
        <v>259343.57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0.55270815071240542</v>
      </c>
      <c r="B37" s="139">
        <f t="shared" ref="B37:B41" si="34">MAX(F37:K37)</f>
        <v>0.80883677181971447</v>
      </c>
      <c r="C37" s="160">
        <f t="shared" ref="C37:C41" si="35">AVERAGE(F37:K37)</f>
        <v>0.70464966899533321</v>
      </c>
      <c r="D37" s="160">
        <f t="shared" ref="D37:D41" si="36">MEDIAN(F37:K37)</f>
        <v>0.71846049921294763</v>
      </c>
      <c r="E37" s="126" t="s">
        <v>370</v>
      </c>
      <c r="F37" s="131">
        <f>F43/F44*100%</f>
        <v>0.55270815071240542</v>
      </c>
      <c r="G37" s="124">
        <f t="shared" ref="G37:K37" si="37">G43/G44*100%</f>
        <v>0.63216374261906827</v>
      </c>
      <c r="H37" s="124">
        <f t="shared" si="37"/>
        <v>0.77395647897255593</v>
      </c>
      <c r="I37" s="124">
        <f t="shared" si="37"/>
        <v>0.79726835039491595</v>
      </c>
      <c r="J37" s="124">
        <f t="shared" si="37"/>
        <v>0.80883677181971447</v>
      </c>
      <c r="K37" s="132">
        <f t="shared" si="37"/>
        <v>0.66296451945333934</v>
      </c>
    </row>
    <row r="38" spans="1:11" x14ac:dyDescent="0.25">
      <c r="A38" s="139">
        <f t="shared" si="33"/>
        <v>1.3262376970303216</v>
      </c>
      <c r="B38" s="139">
        <f t="shared" si="34"/>
        <v>5.5652828655477204</v>
      </c>
      <c r="C38" s="155">
        <f t="shared" si="35"/>
        <v>3.961810772137405</v>
      </c>
      <c r="D38" s="156">
        <f t="shared" si="36"/>
        <v>4.7886645115464948</v>
      </c>
      <c r="E38" s="127" t="s">
        <v>298</v>
      </c>
      <c r="F38" s="133">
        <f>F43/F45</f>
        <v>1.3262376970303216</v>
      </c>
      <c r="G38" s="122">
        <f t="shared" ref="G38:K38" si="38">G43/G45</f>
        <v>1.9075138669271936</v>
      </c>
      <c r="H38" s="122">
        <f t="shared" si="38"/>
        <v>4.2354576207947705</v>
      </c>
      <c r="I38" s="122">
        <f t="shared" si="38"/>
        <v>5.3418714022982199</v>
      </c>
      <c r="J38" s="122">
        <f t="shared" si="38"/>
        <v>5.5652828655477204</v>
      </c>
      <c r="K38" s="134">
        <f t="shared" si="38"/>
        <v>5.3945011802262046</v>
      </c>
    </row>
    <row r="39" spans="1:11" x14ac:dyDescent="0.25">
      <c r="A39" s="139">
        <f t="shared" si="33"/>
        <v>2.3995262152745278</v>
      </c>
      <c r="B39" s="139">
        <f t="shared" si="34"/>
        <v>8.1369379837617082</v>
      </c>
      <c r="C39" s="155">
        <f t="shared" si="35"/>
        <v>5.4345323358618147</v>
      </c>
      <c r="D39" s="156">
        <f t="shared" si="36"/>
        <v>6.0863463700900962</v>
      </c>
      <c r="E39" s="127" t="s">
        <v>299</v>
      </c>
      <c r="F39" s="133">
        <f>F44/F45</f>
        <v>2.3995262152745278</v>
      </c>
      <c r="G39" s="122">
        <f t="shared" ref="G39:K39" si="39">G44/G45</f>
        <v>3.0174363670784436</v>
      </c>
      <c r="H39" s="122">
        <f t="shared" si="39"/>
        <v>5.4724751789886588</v>
      </c>
      <c r="I39" s="122">
        <f t="shared" si="39"/>
        <v>6.7002175611915336</v>
      </c>
      <c r="J39" s="122">
        <f t="shared" si="39"/>
        <v>6.8806007088760222</v>
      </c>
      <c r="K39" s="134">
        <f t="shared" si="39"/>
        <v>8.1369379837617082</v>
      </c>
    </row>
    <row r="40" spans="1:11" x14ac:dyDescent="0.25">
      <c r="A40" s="139">
        <f t="shared" si="33"/>
        <v>0.34063073566084678</v>
      </c>
      <c r="B40" s="139">
        <f t="shared" si="34"/>
        <v>0.67675571714733473</v>
      </c>
      <c r="C40" s="160">
        <f t="shared" si="35"/>
        <v>0.51223843787167389</v>
      </c>
      <c r="D40" s="160">
        <f t="shared" si="36"/>
        <v>0.52411401661678891</v>
      </c>
      <c r="E40" s="128" t="s">
        <v>371</v>
      </c>
      <c r="F40" s="131">
        <f>F46/F44*100%</f>
        <v>0.34063073566084678</v>
      </c>
      <c r="G40" s="124">
        <f t="shared" ref="G40:K40" si="40">G46/G44*100%</f>
        <v>0.49004948671494747</v>
      </c>
      <c r="H40" s="124">
        <f t="shared" si="40"/>
        <v>0.59118434770549</v>
      </c>
      <c r="I40" s="124">
        <f t="shared" si="40"/>
        <v>0.5581785465186303</v>
      </c>
      <c r="J40" s="124">
        <f t="shared" si="40"/>
        <v>0.67675571714733473</v>
      </c>
      <c r="K40" s="132">
        <f t="shared" si="40"/>
        <v>0.41663179348279444</v>
      </c>
    </row>
    <row r="41" spans="1:11" ht="13.8" thickBot="1" x14ac:dyDescent="0.3">
      <c r="A41" s="139">
        <f t="shared" si="33"/>
        <v>5.2947371707635744</v>
      </c>
      <c r="B41" s="139">
        <f t="shared" si="34"/>
        <v>63.318354860400937</v>
      </c>
      <c r="C41" s="155">
        <f t="shared" si="35"/>
        <v>20.710866745425921</v>
      </c>
      <c r="D41" s="156">
        <f t="shared" si="36"/>
        <v>10.521087183889826</v>
      </c>
      <c r="E41" s="129" t="s">
        <v>300</v>
      </c>
      <c r="F41" s="135">
        <f>(F47+F48)/F48</f>
        <v>63.318354860400937</v>
      </c>
      <c r="G41" s="123">
        <f t="shared" ref="G41:K41" si="41">(G47+G48)/G48</f>
        <v>11.320920067803693</v>
      </c>
      <c r="H41" s="123">
        <f t="shared" si="41"/>
        <v>8.7207888123953925</v>
      </c>
      <c r="I41" s="123">
        <f t="shared" si="41"/>
        <v>9.721254299975957</v>
      </c>
      <c r="J41" s="123">
        <f t="shared" si="41"/>
        <v>5.2947371707635744</v>
      </c>
      <c r="K41" s="136">
        <f t="shared" si="41"/>
        <v>25.88914526121599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1291547.47</v>
      </c>
      <c r="G43" s="76">
        <f t="shared" ref="G43:K43" si="42">G193+G202</f>
        <v>1249815.3700000001</v>
      </c>
      <c r="H43" s="76">
        <f t="shared" si="42"/>
        <v>1449399.18</v>
      </c>
      <c r="I43" s="76">
        <f t="shared" si="42"/>
        <v>1363696.97</v>
      </c>
      <c r="J43" s="76">
        <f t="shared" si="42"/>
        <v>1060462.0900000001</v>
      </c>
      <c r="K43" s="76">
        <f t="shared" si="42"/>
        <v>657660.19999999995</v>
      </c>
    </row>
    <row r="44" spans="1:11" x14ac:dyDescent="0.25">
      <c r="E44" s="43" t="s">
        <v>303</v>
      </c>
      <c r="F44" s="76">
        <f>F171</f>
        <v>2336762.12</v>
      </c>
      <c r="G44" s="76">
        <f t="shared" ref="G44:K44" si="43">G171</f>
        <v>1977043.74</v>
      </c>
      <c r="H44" s="76">
        <f t="shared" si="43"/>
        <v>1872714.06</v>
      </c>
      <c r="I44" s="76">
        <f t="shared" si="43"/>
        <v>1710461.69</v>
      </c>
      <c r="J44" s="76">
        <f t="shared" si="43"/>
        <v>1311095.3</v>
      </c>
      <c r="K44" s="76">
        <f t="shared" si="43"/>
        <v>991999.09</v>
      </c>
    </row>
    <row r="45" spans="1:11" x14ac:dyDescent="0.25">
      <c r="E45" s="43" t="s">
        <v>311</v>
      </c>
      <c r="F45" s="76">
        <f>F172</f>
        <v>973843.13</v>
      </c>
      <c r="G45" s="76">
        <f t="shared" ref="G45:K45" si="44">G172</f>
        <v>655206.43999999994</v>
      </c>
      <c r="H45" s="76">
        <f t="shared" si="44"/>
        <v>342206.04</v>
      </c>
      <c r="I45" s="76">
        <f t="shared" si="44"/>
        <v>255284.5</v>
      </c>
      <c r="J45" s="76">
        <f t="shared" si="44"/>
        <v>190549.54</v>
      </c>
      <c r="K45" s="76">
        <f t="shared" si="44"/>
        <v>121913.07</v>
      </c>
    </row>
    <row r="46" spans="1:11" x14ac:dyDescent="0.25">
      <c r="E46" s="43" t="s">
        <v>312</v>
      </c>
      <c r="F46" s="76">
        <f>F193</f>
        <v>795973</v>
      </c>
      <c r="G46" s="76">
        <f t="shared" ref="G46:K46" si="45">G193</f>
        <v>968849.27</v>
      </c>
      <c r="H46" s="76">
        <f t="shared" si="45"/>
        <v>1107119.24</v>
      </c>
      <c r="I46" s="76">
        <f t="shared" si="45"/>
        <v>954743.02</v>
      </c>
      <c r="J46" s="76">
        <f t="shared" si="45"/>
        <v>887291.24</v>
      </c>
      <c r="K46" s="76">
        <f t="shared" si="45"/>
        <v>413298.36</v>
      </c>
    </row>
    <row r="47" spans="1:11" x14ac:dyDescent="0.25">
      <c r="E47" s="43" t="s">
        <v>313</v>
      </c>
      <c r="F47" s="76">
        <f>F275</f>
        <v>355877.69</v>
      </c>
      <c r="G47" s="76">
        <f t="shared" ref="G47:K47" si="46">G275</f>
        <v>245009.56</v>
      </c>
      <c r="H47" s="76">
        <f t="shared" si="46"/>
        <v>170398.89</v>
      </c>
      <c r="I47" s="76">
        <f t="shared" si="46"/>
        <v>191894.02</v>
      </c>
      <c r="J47" s="76">
        <f t="shared" si="46"/>
        <v>143054.56</v>
      </c>
      <c r="K47" s="76">
        <f t="shared" si="46"/>
        <v>185642.41</v>
      </c>
    </row>
    <row r="48" spans="1:11" x14ac:dyDescent="0.25">
      <c r="E48" s="43" t="s">
        <v>314</v>
      </c>
      <c r="F48" s="76">
        <f>F269</f>
        <v>5710.64</v>
      </c>
      <c r="G48" s="76">
        <f t="shared" ref="G48:K48" si="47">G269</f>
        <v>23739.119999999999</v>
      </c>
      <c r="H48" s="76">
        <f t="shared" si="47"/>
        <v>22070.14</v>
      </c>
      <c r="I48" s="76">
        <f t="shared" si="47"/>
        <v>22003.03</v>
      </c>
      <c r="J48" s="76">
        <f t="shared" si="47"/>
        <v>33309.269999999997</v>
      </c>
      <c r="K48" s="76">
        <f t="shared" si="47"/>
        <v>7458.77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6.9796597792715617E-2</v>
      </c>
      <c r="B52" s="139">
        <f t="shared" ref="B52:B63" si="49">MAX(F52:K52)</f>
        <v>0.11920728928911155</v>
      </c>
      <c r="C52" s="160">
        <f t="shared" ref="C52:C63" si="50">AVERAGE(F52:K52)</f>
        <v>9.2828766454129588E-2</v>
      </c>
      <c r="D52" s="160">
        <f t="shared" ref="D52:D63" si="51">MEDIAN(F52:K52)</f>
        <v>9.3391554295987944E-2</v>
      </c>
      <c r="E52" s="127" t="s">
        <v>350</v>
      </c>
      <c r="F52" s="131">
        <f t="shared" ref="F52:K52" si="52">(F65/(F70+F71))*100%</f>
        <v>0.11920728928911155</v>
      </c>
      <c r="G52" s="124">
        <f t="shared" si="52"/>
        <v>9.8806054146828443E-2</v>
      </c>
      <c r="H52" s="124">
        <f t="shared" si="52"/>
        <v>6.9796597792715617E-2</v>
      </c>
      <c r="I52" s="124">
        <f t="shared" si="52"/>
        <v>8.7977054445147432E-2</v>
      </c>
      <c r="J52" s="124">
        <f t="shared" si="52"/>
        <v>7.9924881137637557E-2</v>
      </c>
      <c r="K52" s="132">
        <f t="shared" si="52"/>
        <v>0.101260721913337</v>
      </c>
    </row>
    <row r="53" spans="1:11" x14ac:dyDescent="0.25">
      <c r="A53" s="139">
        <f t="shared" si="48"/>
        <v>-0.13001818444022939</v>
      </c>
      <c r="B53" s="139">
        <f t="shared" si="49"/>
        <v>0.11759281508585576</v>
      </c>
      <c r="C53" s="160">
        <f t="shared" si="50"/>
        <v>-2.0559500168783874E-2</v>
      </c>
      <c r="D53" s="160">
        <f t="shared" si="51"/>
        <v>-5.734569345373286E-2</v>
      </c>
      <c r="E53" s="127" t="s">
        <v>351</v>
      </c>
      <c r="F53" s="131">
        <f>(F66/F70)*100%</f>
        <v>0.11759281508585576</v>
      </c>
      <c r="G53" s="124">
        <f t="shared" ref="G53:K53" si="53">(G66/G70)*100%</f>
        <v>8.7365793846953727E-2</v>
      </c>
      <c r="H53" s="124">
        <f t="shared" si="53"/>
        <v>-5.1236087693106606E-2</v>
      </c>
      <c r="I53" s="124">
        <f t="shared" si="53"/>
        <v>-6.3455299214359107E-2</v>
      </c>
      <c r="J53" s="124">
        <f t="shared" si="53"/>
        <v>-0.13001818444022939</v>
      </c>
      <c r="K53" s="132">
        <f t="shared" si="53"/>
        <v>-8.3606038597817608E-2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74"/>
      <c r="G54" s="175"/>
      <c r="H54" s="175"/>
      <c r="I54" s="175"/>
      <c r="J54" s="175"/>
      <c r="K54" s="176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74"/>
      <c r="G55" s="175"/>
      <c r="H55" s="175"/>
      <c r="I55" s="175"/>
      <c r="J55" s="175"/>
      <c r="K55" s="176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74"/>
      <c r="G56" s="175"/>
      <c r="H56" s="175"/>
      <c r="I56" s="175"/>
      <c r="J56" s="175"/>
      <c r="K56" s="176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74"/>
      <c r="G57" s="175"/>
      <c r="H57" s="175"/>
      <c r="I57" s="175"/>
      <c r="J57" s="175"/>
      <c r="K57" s="176"/>
    </row>
    <row r="58" spans="1:11" x14ac:dyDescent="0.25">
      <c r="A58" s="139">
        <f t="shared" si="48"/>
        <v>6.1793124793402827E-2</v>
      </c>
      <c r="B58" s="139">
        <f t="shared" si="49"/>
        <v>0.11566242486021164</v>
      </c>
      <c r="C58" s="155">
        <f t="shared" si="50"/>
        <v>8.3714254588478296E-2</v>
      </c>
      <c r="D58" s="156">
        <f t="shared" si="51"/>
        <v>8.1328287608615865E-2</v>
      </c>
      <c r="E58" s="127" t="s">
        <v>356</v>
      </c>
      <c r="F58" s="133">
        <f>F68/(F70+F71+F72+F73+F74+F75)</f>
        <v>0.11566242486021164</v>
      </c>
      <c r="G58" s="122">
        <f t="shared" ref="G58:K58" si="54">G68/(G70+G71+G72+G73+G74)</f>
        <v>8.3729490223594785E-2</v>
      </c>
      <c r="H58" s="122">
        <f t="shared" si="54"/>
        <v>6.1793124793402827E-2</v>
      </c>
      <c r="I58" s="122">
        <f t="shared" si="54"/>
        <v>7.8927084993636945E-2</v>
      </c>
      <c r="J58" s="122">
        <f t="shared" si="54"/>
        <v>6.4826586523711399E-2</v>
      </c>
      <c r="K58" s="134">
        <f t="shared" si="54"/>
        <v>9.7346816136312131E-2</v>
      </c>
    </row>
    <row r="59" spans="1:11" x14ac:dyDescent="0.25">
      <c r="A59" s="139">
        <f t="shared" si="48"/>
        <v>5.6761158918312578E-2</v>
      </c>
      <c r="B59" s="139">
        <f t="shared" si="49"/>
        <v>0.10402688099563154</v>
      </c>
      <c r="C59" s="155">
        <f t="shared" si="50"/>
        <v>7.494664256481795E-2</v>
      </c>
      <c r="D59" s="156">
        <f t="shared" si="51"/>
        <v>7.1913490457291229E-2</v>
      </c>
      <c r="E59" s="127" t="s">
        <v>361</v>
      </c>
      <c r="F59" s="133">
        <f>F69/(F70+F71+F72+F73+F74+F75)</f>
        <v>0.10402688099563154</v>
      </c>
      <c r="G59" s="122">
        <f t="shared" ref="G59:K59" si="55">G69/(G70+G71+G72+G73+G74+G75)</f>
        <v>7.4851434908043954E-2</v>
      </c>
      <c r="H59" s="122">
        <f t="shared" si="55"/>
        <v>5.6761158918312578E-2</v>
      </c>
      <c r="I59" s="122">
        <f t="shared" si="55"/>
        <v>6.8975546006538505E-2</v>
      </c>
      <c r="J59" s="122">
        <f t="shared" si="55"/>
        <v>6.0747241329217425E-2</v>
      </c>
      <c r="K59" s="134">
        <f t="shared" si="55"/>
        <v>8.4317593231163737E-2</v>
      </c>
    </row>
    <row r="60" spans="1:11" ht="26.4" x14ac:dyDescent="0.25">
      <c r="A60" s="139">
        <f t="shared" si="48"/>
        <v>0.1027754498730041</v>
      </c>
      <c r="B60" s="139">
        <f t="shared" si="49"/>
        <v>0.19466379752424975</v>
      </c>
      <c r="C60" s="160">
        <f t="shared" si="50"/>
        <v>0.14336985468952998</v>
      </c>
      <c r="D60" s="160">
        <f t="shared" si="51"/>
        <v>0.14038241755231695</v>
      </c>
      <c r="E60" s="127" t="s">
        <v>372</v>
      </c>
      <c r="F60" s="131">
        <f>F65/F79*100%</f>
        <v>0.15696281485425653</v>
      </c>
      <c r="G60" s="124">
        <f t="shared" ref="G60:K60" si="56">G65/G79*100%</f>
        <v>0.14624191369686135</v>
      </c>
      <c r="H60" s="124">
        <f t="shared" si="56"/>
        <v>0.1027754498730041</v>
      </c>
      <c r="I60" s="124">
        <f t="shared" si="56"/>
        <v>0.1250522307810355</v>
      </c>
      <c r="J60" s="124">
        <f t="shared" si="56"/>
        <v>0.13452292140777256</v>
      </c>
      <c r="K60" s="132">
        <f t="shared" si="56"/>
        <v>0.19466379752424975</v>
      </c>
    </row>
    <row r="61" spans="1:11" x14ac:dyDescent="0.25">
      <c r="A61" s="139">
        <f t="shared" si="48"/>
        <v>8.3580773671342021E-2</v>
      </c>
      <c r="B61" s="139">
        <f t="shared" si="49"/>
        <v>0.16209229587095692</v>
      </c>
      <c r="C61" s="155">
        <f t="shared" si="50"/>
        <v>0.11562037689562717</v>
      </c>
      <c r="D61" s="156">
        <f t="shared" si="51"/>
        <v>0.10651580874163888</v>
      </c>
      <c r="E61" s="127" t="s">
        <v>373</v>
      </c>
      <c r="F61" s="133">
        <f>F69/F79</f>
        <v>0.13697444308109546</v>
      </c>
      <c r="G61" s="122">
        <f t="shared" ref="G61:K61" si="57">G69/G79</f>
        <v>0.11078690651528024</v>
      </c>
      <c r="H61" s="122">
        <f t="shared" si="57"/>
        <v>8.3580773671342021E-2</v>
      </c>
      <c r="I61" s="122">
        <f t="shared" si="57"/>
        <v>9.8043131267090813E-2</v>
      </c>
      <c r="J61" s="122">
        <f t="shared" si="57"/>
        <v>0.10224471096799752</v>
      </c>
      <c r="K61" s="134">
        <f t="shared" si="57"/>
        <v>0.16209229587095692</v>
      </c>
    </row>
    <row r="62" spans="1:11" x14ac:dyDescent="0.25">
      <c r="A62" s="139">
        <f t="shared" si="48"/>
        <v>-1.2236438880933536</v>
      </c>
      <c r="B62" s="139">
        <f t="shared" si="49"/>
        <v>0.34462574879453267</v>
      </c>
      <c r="C62" s="155">
        <f t="shared" si="50"/>
        <v>-0.39620902302022221</v>
      </c>
      <c r="D62" s="156">
        <f t="shared" si="51"/>
        <v>-0.37231331375660315</v>
      </c>
      <c r="E62" s="127" t="s">
        <v>374</v>
      </c>
      <c r="F62" s="133">
        <f>F69/F80</f>
        <v>0.32867376699571726</v>
      </c>
      <c r="G62" s="122">
        <f>G66/G80</f>
        <v>0.34462574879453267</v>
      </c>
      <c r="H62" s="122">
        <f>H66/H80</f>
        <v>-0.31995008036678724</v>
      </c>
      <c r="I62" s="122">
        <f>I66/I80</f>
        <v>-0.424676547146419</v>
      </c>
      <c r="J62" s="122">
        <f>J66/J80</f>
        <v>-1.2236438880933536</v>
      </c>
      <c r="K62" s="134">
        <f>K66/K80</f>
        <v>-1.0822831383050233</v>
      </c>
    </row>
    <row r="63" spans="1:11" ht="13.8" thickBot="1" x14ac:dyDescent="0.3">
      <c r="A63" s="139">
        <f t="shared" si="48"/>
        <v>0.12374840972172714</v>
      </c>
      <c r="B63" s="139">
        <f t="shared" si="49"/>
        <v>0.30400320409851572</v>
      </c>
      <c r="C63" s="155">
        <f t="shared" si="50"/>
        <v>0.18033208167677672</v>
      </c>
      <c r="D63" s="156">
        <f t="shared" si="51"/>
        <v>0.16133644317405832</v>
      </c>
      <c r="E63" s="129" t="s">
        <v>302</v>
      </c>
      <c r="F63" s="135">
        <f t="shared" ref="F63:K63" si="58">F65/(F80+F81)</f>
        <v>0.18141395738872029</v>
      </c>
      <c r="G63" s="123">
        <f t="shared" si="58"/>
        <v>0.16711985534847312</v>
      </c>
      <c r="H63" s="123">
        <f t="shared" si="58"/>
        <v>0.12374840972172714</v>
      </c>
      <c r="I63" s="123">
        <f t="shared" si="58"/>
        <v>0.15015403250358056</v>
      </c>
      <c r="J63" s="123">
        <f t="shared" si="58"/>
        <v>0.15555303099964352</v>
      </c>
      <c r="K63" s="136">
        <f t="shared" si="58"/>
        <v>0.30400320409851572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366784.76</v>
      </c>
      <c r="G65" s="76">
        <f t="shared" ref="G65:K65" si="59">G255</f>
        <v>289126.65999999997</v>
      </c>
      <c r="H65" s="76">
        <f t="shared" si="59"/>
        <v>192469.03</v>
      </c>
      <c r="I65" s="76">
        <f t="shared" si="59"/>
        <v>213897.05</v>
      </c>
      <c r="J65" s="76">
        <f t="shared" si="59"/>
        <v>176372.37</v>
      </c>
      <c r="K65" s="76">
        <f t="shared" si="59"/>
        <v>193106.31</v>
      </c>
    </row>
    <row r="66" spans="5:12" ht="26.4" x14ac:dyDescent="0.25">
      <c r="E66" s="52" t="s">
        <v>352</v>
      </c>
      <c r="F66" s="76">
        <f>F245</f>
        <v>360726.76</v>
      </c>
      <c r="G66" s="76">
        <f t="shared" ref="G66:K66" si="60">G245</f>
        <v>225801.01</v>
      </c>
      <c r="H66" s="76">
        <f t="shared" si="60"/>
        <v>-109488.85</v>
      </c>
      <c r="I66" s="76">
        <f t="shared" si="60"/>
        <v>-108413.34</v>
      </c>
      <c r="J66" s="76">
        <f t="shared" si="60"/>
        <v>-233164.78</v>
      </c>
      <c r="K66" s="76">
        <f t="shared" si="60"/>
        <v>-131944.46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355877.69</v>
      </c>
      <c r="G68" s="76">
        <f t="shared" ref="G68:K68" si="61">G275</f>
        <v>245009.56</v>
      </c>
      <c r="H68" s="76">
        <f t="shared" si="61"/>
        <v>170398.89</v>
      </c>
      <c r="I68" s="76">
        <f t="shared" si="61"/>
        <v>191894.02</v>
      </c>
      <c r="J68" s="76">
        <f t="shared" si="61"/>
        <v>143054.56</v>
      </c>
      <c r="K68" s="76">
        <f t="shared" si="61"/>
        <v>185642.41</v>
      </c>
    </row>
    <row r="69" spans="5:12" x14ac:dyDescent="0.25">
      <c r="E69" s="43" t="s">
        <v>315</v>
      </c>
      <c r="F69" s="76">
        <f>F278</f>
        <v>320076.69</v>
      </c>
      <c r="G69" s="76">
        <f t="shared" ref="G69:K69" si="62">G278</f>
        <v>219030.56</v>
      </c>
      <c r="H69" s="76">
        <f t="shared" si="62"/>
        <v>156522.89000000001</v>
      </c>
      <c r="I69" s="76">
        <f t="shared" si="62"/>
        <v>167699.01999999999</v>
      </c>
      <c r="J69" s="76">
        <f t="shared" si="62"/>
        <v>134052.56</v>
      </c>
      <c r="K69" s="76">
        <f t="shared" si="62"/>
        <v>160795.41</v>
      </c>
    </row>
    <row r="70" spans="5:12" x14ac:dyDescent="0.25">
      <c r="E70" s="43" t="s">
        <v>358</v>
      </c>
      <c r="F70" s="76">
        <f>F228</f>
        <v>3067591.84</v>
      </c>
      <c r="G70" s="76">
        <f t="shared" ref="G70:K70" si="63">G228</f>
        <v>2584547.11</v>
      </c>
      <c r="H70" s="76">
        <f t="shared" si="63"/>
        <v>2136947.9</v>
      </c>
      <c r="I70" s="76">
        <f t="shared" si="63"/>
        <v>1708499.39</v>
      </c>
      <c r="J70" s="76">
        <f t="shared" si="63"/>
        <v>1793324.38</v>
      </c>
      <c r="K70" s="76">
        <f t="shared" si="63"/>
        <v>1578169.02</v>
      </c>
    </row>
    <row r="71" spans="5:12" x14ac:dyDescent="0.25">
      <c r="E71" s="43" t="s">
        <v>359</v>
      </c>
      <c r="F71" s="76">
        <f>F246</f>
        <v>9273.36</v>
      </c>
      <c r="G71" s="76">
        <f t="shared" ref="G71:K71" si="64">G246</f>
        <v>341656.78</v>
      </c>
      <c r="H71" s="76">
        <f t="shared" si="64"/>
        <v>620622.47</v>
      </c>
      <c r="I71" s="76">
        <f t="shared" si="64"/>
        <v>722782.85</v>
      </c>
      <c r="J71" s="76">
        <f t="shared" si="64"/>
        <v>413402.33</v>
      </c>
      <c r="K71" s="76">
        <f t="shared" si="64"/>
        <v>328851.84999999998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2336762.12</v>
      </c>
      <c r="G79" s="76">
        <f t="shared" ref="G79:K79" si="66">G171</f>
        <v>1977043.74</v>
      </c>
      <c r="H79" s="76">
        <f t="shared" si="66"/>
        <v>1872714.06</v>
      </c>
      <c r="I79" s="76">
        <f t="shared" si="66"/>
        <v>1710461.69</v>
      </c>
      <c r="J79" s="76">
        <f t="shared" si="66"/>
        <v>1311095.3</v>
      </c>
      <c r="K79" s="76">
        <f t="shared" si="66"/>
        <v>991999.09</v>
      </c>
    </row>
    <row r="80" spans="5:12" x14ac:dyDescent="0.25">
      <c r="E80" s="43" t="s">
        <v>311</v>
      </c>
      <c r="F80" s="76">
        <f>F172</f>
        <v>973843.13</v>
      </c>
      <c r="G80" s="76">
        <f t="shared" ref="G80:K80" si="67">G172</f>
        <v>655206.43999999994</v>
      </c>
      <c r="H80" s="76">
        <f t="shared" si="67"/>
        <v>342206.04</v>
      </c>
      <c r="I80" s="76">
        <f t="shared" si="67"/>
        <v>255284.5</v>
      </c>
      <c r="J80" s="76">
        <f t="shared" si="67"/>
        <v>190549.54</v>
      </c>
      <c r="K80" s="76">
        <f t="shared" si="67"/>
        <v>121913.07</v>
      </c>
    </row>
    <row r="81" spans="5:11" x14ac:dyDescent="0.25">
      <c r="E81" s="43" t="s">
        <v>317</v>
      </c>
      <c r="F81" s="76">
        <f>F197+F210</f>
        <v>1047968.01</v>
      </c>
      <c r="G81" s="76">
        <f t="shared" ref="G81:K81" si="68">G197+G210</f>
        <v>1074849.27</v>
      </c>
      <c r="H81" s="76">
        <f t="shared" si="68"/>
        <v>1213119.24</v>
      </c>
      <c r="I81" s="76">
        <f t="shared" si="68"/>
        <v>1169233.02</v>
      </c>
      <c r="J81" s="76">
        <f t="shared" si="68"/>
        <v>943291.24</v>
      </c>
      <c r="K81" s="76">
        <f t="shared" si="68"/>
        <v>513298.36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5">
      <c r="E84" s="94" t="s">
        <v>102</v>
      </c>
      <c r="F84" s="97">
        <v>1293150.6100000001</v>
      </c>
      <c r="G84" s="97">
        <v>1343678.73</v>
      </c>
      <c r="H84" s="97">
        <v>1338422.5</v>
      </c>
      <c r="I84" s="97">
        <v>1202674.06</v>
      </c>
      <c r="J84" s="97">
        <v>994789.68</v>
      </c>
      <c r="K84" s="97">
        <v>705596.22</v>
      </c>
    </row>
    <row r="85" spans="5:11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5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5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5">
      <c r="E88" s="94" t="s">
        <v>106</v>
      </c>
      <c r="F88" s="97"/>
      <c r="G88" s="97"/>
      <c r="H88" s="97"/>
      <c r="I88" s="97"/>
      <c r="J88" s="97"/>
      <c r="K88" s="97"/>
    </row>
    <row r="89" spans="5:11" x14ac:dyDescent="0.25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5">
      <c r="E90" s="94" t="s">
        <v>108</v>
      </c>
      <c r="F90" s="97">
        <v>1293150.6100000001</v>
      </c>
      <c r="G90" s="97">
        <v>1343678.73</v>
      </c>
      <c r="H90" s="97">
        <v>1338422.5</v>
      </c>
      <c r="I90" s="97">
        <v>1202674.06</v>
      </c>
      <c r="J90" s="97">
        <v>994789.68</v>
      </c>
      <c r="K90" s="97">
        <v>705596.22</v>
      </c>
    </row>
    <row r="91" spans="5:11" x14ac:dyDescent="0.25">
      <c r="E91" s="94" t="s">
        <v>109</v>
      </c>
      <c r="F91" s="97">
        <v>1236405.43</v>
      </c>
      <c r="G91" s="97">
        <v>1286933.55</v>
      </c>
      <c r="H91" s="97">
        <v>1275156.1599999999</v>
      </c>
      <c r="I91" s="97">
        <v>1116423.98</v>
      </c>
      <c r="J91" s="97">
        <v>757177.34</v>
      </c>
      <c r="K91" s="97">
        <v>111705.03</v>
      </c>
    </row>
    <row r="92" spans="5:11" x14ac:dyDescent="0.25">
      <c r="E92" s="94" t="s">
        <v>110</v>
      </c>
      <c r="F92" s="97">
        <v>114000</v>
      </c>
      <c r="G92" s="97">
        <v>114000</v>
      </c>
      <c r="H92" s="97"/>
      <c r="I92" s="97"/>
      <c r="J92" s="97"/>
      <c r="K92" s="97"/>
    </row>
    <row r="93" spans="5:11" x14ac:dyDescent="0.25">
      <c r="E93" s="94" t="s">
        <v>111</v>
      </c>
      <c r="F93" s="97">
        <v>967799.18</v>
      </c>
      <c r="G93" s="97">
        <v>995667.97</v>
      </c>
      <c r="H93" s="97">
        <v>1003327.3</v>
      </c>
      <c r="I93" s="97">
        <v>767672.44</v>
      </c>
      <c r="J93" s="97">
        <v>605049.73</v>
      </c>
      <c r="K93" s="97">
        <v>11481.92</v>
      </c>
    </row>
    <row r="94" spans="5:11" x14ac:dyDescent="0.25">
      <c r="E94" s="94" t="s">
        <v>112</v>
      </c>
      <c r="F94" s="97">
        <v>107080.65</v>
      </c>
      <c r="G94" s="97">
        <v>147115.57999999999</v>
      </c>
      <c r="H94" s="97">
        <v>184910.8</v>
      </c>
      <c r="I94" s="97">
        <v>244300.83</v>
      </c>
      <c r="J94" s="97">
        <v>66158.22</v>
      </c>
      <c r="K94" s="97">
        <v>39844.29</v>
      </c>
    </row>
    <row r="95" spans="5:11" x14ac:dyDescent="0.25">
      <c r="E95" s="94" t="s">
        <v>113</v>
      </c>
      <c r="F95" s="97">
        <v>0</v>
      </c>
      <c r="G95" s="97">
        <v>0</v>
      </c>
      <c r="H95" s="97">
        <v>33514.35</v>
      </c>
      <c r="I95" s="97">
        <v>52352.68</v>
      </c>
      <c r="J95" s="97">
        <v>21191.439999999999</v>
      </c>
      <c r="K95" s="97">
        <v>44911.5</v>
      </c>
    </row>
    <row r="96" spans="5:11" x14ac:dyDescent="0.25">
      <c r="E96" s="94" t="s">
        <v>114</v>
      </c>
      <c r="F96" s="97">
        <v>47525.599999999999</v>
      </c>
      <c r="G96" s="97">
        <v>30150</v>
      </c>
      <c r="H96" s="97">
        <v>53403.71</v>
      </c>
      <c r="I96" s="97">
        <v>52098.03</v>
      </c>
      <c r="J96" s="97">
        <v>64777.95</v>
      </c>
      <c r="K96" s="97">
        <v>15467.32</v>
      </c>
    </row>
    <row r="97" spans="5:11" x14ac:dyDescent="0.25">
      <c r="E97" s="94" t="s">
        <v>115</v>
      </c>
      <c r="F97" s="97">
        <v>56745.18</v>
      </c>
      <c r="G97" s="97">
        <v>56745.18</v>
      </c>
      <c r="H97" s="97">
        <v>63266.34</v>
      </c>
      <c r="I97" s="97">
        <v>86250.08</v>
      </c>
      <c r="J97" s="97">
        <v>237612.34</v>
      </c>
      <c r="K97" s="97">
        <v>593891.18999999994</v>
      </c>
    </row>
    <row r="98" spans="5:11" x14ac:dyDescent="0.25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5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5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5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5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5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</row>
    <row r="107" spans="5:11" x14ac:dyDescent="0.25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</row>
    <row r="108" spans="5:11" x14ac:dyDescent="0.25">
      <c r="E108" s="94" t="s">
        <v>126</v>
      </c>
      <c r="F108" s="97"/>
      <c r="G108" s="97"/>
      <c r="H108" s="97"/>
      <c r="I108" s="97"/>
      <c r="J108" s="97"/>
      <c r="K108" s="97"/>
    </row>
    <row r="109" spans="5:11" ht="15" customHeight="1" x14ac:dyDescent="0.25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5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</row>
    <row r="113" spans="5:11" ht="15" customHeight="1" x14ac:dyDescent="0.25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5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5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5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</row>
    <row r="118" spans="5:11" ht="15" customHeight="1" x14ac:dyDescent="0.25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5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5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5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5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/>
      <c r="I125" s="97"/>
      <c r="J125" s="97"/>
      <c r="K125" s="97"/>
    </row>
    <row r="126" spans="5:11" x14ac:dyDescent="0.25">
      <c r="E126" s="94" t="s">
        <v>136</v>
      </c>
      <c r="F126" s="97">
        <v>1043611.51</v>
      </c>
      <c r="G126" s="97">
        <v>633365.01</v>
      </c>
      <c r="H126" s="97">
        <v>534291.56000000006</v>
      </c>
      <c r="I126" s="97">
        <v>507787.63</v>
      </c>
      <c r="J126" s="97">
        <v>316305.62</v>
      </c>
      <c r="K126" s="97">
        <v>259343.57</v>
      </c>
    </row>
    <row r="127" spans="5:11" ht="15" customHeight="1" x14ac:dyDescent="0.25">
      <c r="E127" s="94" t="s">
        <v>137</v>
      </c>
      <c r="F127" s="97">
        <v>77884.02</v>
      </c>
      <c r="G127" s="97">
        <v>145268.4</v>
      </c>
      <c r="H127" s="97">
        <v>63264.44</v>
      </c>
      <c r="I127" s="97">
        <v>15530.53</v>
      </c>
      <c r="J127" s="97">
        <v>39583.589999999997</v>
      </c>
      <c r="K127" s="97">
        <v>20862.39</v>
      </c>
    </row>
    <row r="128" spans="5:11" ht="15" customHeight="1" x14ac:dyDescent="0.25">
      <c r="E128" s="94" t="s">
        <v>138</v>
      </c>
      <c r="F128" s="97">
        <v>18776.05</v>
      </c>
      <c r="G128" s="97">
        <v>41915.03</v>
      </c>
      <c r="H128" s="97">
        <v>17100.32</v>
      </c>
      <c r="I128" s="97">
        <v>15530.53</v>
      </c>
      <c r="J128" s="97">
        <v>18727.78</v>
      </c>
      <c r="K128" s="97">
        <v>20043.82</v>
      </c>
    </row>
    <row r="129" spans="5:11" ht="15" customHeight="1" x14ac:dyDescent="0.25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5">
      <c r="E131" s="94" t="s">
        <v>141</v>
      </c>
      <c r="F131" s="97">
        <v>59107.97</v>
      </c>
      <c r="G131" s="97">
        <v>103353.37</v>
      </c>
      <c r="H131" s="97">
        <v>43037.26</v>
      </c>
      <c r="I131" s="97"/>
      <c r="J131" s="97"/>
      <c r="K131" s="97"/>
    </row>
    <row r="132" spans="5:11" x14ac:dyDescent="0.25">
      <c r="E132" s="94" t="s">
        <v>142</v>
      </c>
      <c r="F132" s="97">
        <v>0</v>
      </c>
      <c r="G132" s="97">
        <v>0</v>
      </c>
      <c r="H132" s="97">
        <v>3126.86</v>
      </c>
      <c r="I132" s="97">
        <v>0</v>
      </c>
      <c r="J132" s="97">
        <v>20855.810000000001</v>
      </c>
      <c r="K132" s="97">
        <v>818.57</v>
      </c>
    </row>
    <row r="133" spans="5:11" x14ac:dyDescent="0.25">
      <c r="E133" s="94" t="s">
        <v>143</v>
      </c>
      <c r="F133" s="97">
        <v>867468.05</v>
      </c>
      <c r="G133" s="97">
        <v>180643.05</v>
      </c>
      <c r="H133" s="97">
        <v>246416.31</v>
      </c>
      <c r="I133" s="97">
        <v>179443.42</v>
      </c>
      <c r="J133" s="97">
        <v>138408.56</v>
      </c>
      <c r="K133" s="97">
        <v>98074.31</v>
      </c>
    </row>
    <row r="134" spans="5:11" x14ac:dyDescent="0.25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</row>
    <row r="135" spans="5:11" x14ac:dyDescent="0.25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</row>
    <row r="136" spans="5:11" x14ac:dyDescent="0.25">
      <c r="E136" s="94" t="s">
        <v>146</v>
      </c>
      <c r="F136" s="97"/>
      <c r="G136" s="97"/>
      <c r="H136" s="97"/>
      <c r="I136" s="97"/>
      <c r="J136" s="97"/>
      <c r="K136" s="97"/>
    </row>
    <row r="137" spans="5:11" x14ac:dyDescent="0.25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5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5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</row>
    <row r="140" spans="5:11" x14ac:dyDescent="0.25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</row>
    <row r="141" spans="5:11" x14ac:dyDescent="0.25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5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5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5">
      <c r="E144" s="94" t="s">
        <v>150</v>
      </c>
      <c r="F144" s="97">
        <v>867468.05</v>
      </c>
      <c r="G144" s="97">
        <v>180643.05</v>
      </c>
      <c r="H144" s="97">
        <v>246416.31</v>
      </c>
      <c r="I144" s="97">
        <v>179443.42</v>
      </c>
      <c r="J144" s="97">
        <v>138408.56</v>
      </c>
      <c r="K144" s="97">
        <v>98074.31</v>
      </c>
    </row>
    <row r="145" spans="5:11" x14ac:dyDescent="0.25">
      <c r="E145" s="94" t="s">
        <v>145</v>
      </c>
      <c r="F145" s="97">
        <v>854030.93</v>
      </c>
      <c r="G145" s="97">
        <v>167104.76999999999</v>
      </c>
      <c r="H145" s="97">
        <v>231507.68</v>
      </c>
      <c r="I145" s="97">
        <v>164200.81</v>
      </c>
      <c r="J145" s="97">
        <v>97580.81</v>
      </c>
      <c r="K145" s="97">
        <v>91942.45</v>
      </c>
    </row>
    <row r="146" spans="5:11" x14ac:dyDescent="0.25">
      <c r="E146" s="94" t="s">
        <v>146</v>
      </c>
      <c r="F146" s="97">
        <v>854030.93</v>
      </c>
      <c r="G146" s="97">
        <v>167104.76999999999</v>
      </c>
      <c r="H146" s="97">
        <v>231507.68</v>
      </c>
      <c r="I146" s="97">
        <v>164200.81</v>
      </c>
      <c r="J146" s="97">
        <v>97580.81</v>
      </c>
      <c r="K146" s="97">
        <v>91942.45</v>
      </c>
    </row>
    <row r="147" spans="5:11" x14ac:dyDescent="0.25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5">
      <c r="E148" s="94" t="s">
        <v>151</v>
      </c>
      <c r="F148" s="97">
        <v>0</v>
      </c>
      <c r="G148" s="97">
        <v>101.16</v>
      </c>
      <c r="H148" s="97">
        <v>1471.51</v>
      </c>
      <c r="I148" s="97">
        <v>1805.49</v>
      </c>
      <c r="J148" s="97">
        <v>36371.279999999999</v>
      </c>
      <c r="K148" s="97">
        <v>3857.76</v>
      </c>
    </row>
    <row r="149" spans="5:11" x14ac:dyDescent="0.25">
      <c r="E149" s="94" t="s">
        <v>152</v>
      </c>
      <c r="F149" s="97">
        <v>13437.12</v>
      </c>
      <c r="G149" s="97">
        <v>13437.12</v>
      </c>
      <c r="H149" s="97">
        <v>13437.12</v>
      </c>
      <c r="I149" s="97">
        <v>13437.12</v>
      </c>
      <c r="J149" s="97">
        <v>4456.47</v>
      </c>
      <c r="K149" s="97">
        <v>2274.1</v>
      </c>
    </row>
    <row r="150" spans="5:11" x14ac:dyDescent="0.25">
      <c r="E150" s="94" t="s">
        <v>153</v>
      </c>
      <c r="F150" s="97"/>
      <c r="G150" s="97"/>
      <c r="H150" s="97"/>
      <c r="I150" s="97"/>
      <c r="J150" s="97"/>
      <c r="K150" s="97"/>
    </row>
    <row r="151" spans="5:11" x14ac:dyDescent="0.25">
      <c r="E151" s="94" t="s">
        <v>154</v>
      </c>
      <c r="F151" s="97">
        <v>68446.03</v>
      </c>
      <c r="G151" s="97">
        <v>278802.84999999998</v>
      </c>
      <c r="H151" s="97">
        <v>194720.69</v>
      </c>
      <c r="I151" s="97">
        <v>284194.13</v>
      </c>
      <c r="J151" s="97">
        <v>115102.91</v>
      </c>
      <c r="K151" s="97">
        <v>121280.39</v>
      </c>
    </row>
    <row r="152" spans="5:11" x14ac:dyDescent="0.25">
      <c r="E152" s="94" t="s">
        <v>155</v>
      </c>
      <c r="F152" s="97">
        <v>68446.03</v>
      </c>
      <c r="G152" s="97">
        <v>278802.84999999998</v>
      </c>
      <c r="H152" s="97">
        <v>194720.69</v>
      </c>
      <c r="I152" s="97">
        <v>284194.13</v>
      </c>
      <c r="J152" s="97">
        <v>115102.91</v>
      </c>
      <c r="K152" s="97">
        <v>121280.39</v>
      </c>
    </row>
    <row r="153" spans="5:11" x14ac:dyDescent="0.25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</row>
    <row r="154" spans="5:11" x14ac:dyDescent="0.25">
      <c r="E154" s="94" t="s">
        <v>156</v>
      </c>
      <c r="F154" s="97"/>
      <c r="G154" s="97"/>
      <c r="H154" s="97"/>
      <c r="I154" s="97"/>
      <c r="J154" s="97"/>
      <c r="K154" s="97"/>
    </row>
    <row r="155" spans="5:11" x14ac:dyDescent="0.25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5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5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5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</row>
    <row r="159" spans="5:11" x14ac:dyDescent="0.25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5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5">
      <c r="E161" s="94" t="s">
        <v>158</v>
      </c>
      <c r="F161" s="97"/>
      <c r="G161" s="97"/>
      <c r="H161" s="97"/>
      <c r="I161" s="97"/>
      <c r="J161" s="97"/>
      <c r="K161" s="97"/>
    </row>
    <row r="162" spans="5:11" x14ac:dyDescent="0.25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5">
      <c r="E163" s="94" t="s">
        <v>161</v>
      </c>
      <c r="F163" s="97">
        <v>68446.03</v>
      </c>
      <c r="G163" s="97">
        <v>278802.84999999998</v>
      </c>
      <c r="H163" s="97">
        <v>194720.69</v>
      </c>
      <c r="I163" s="97">
        <v>284194.13</v>
      </c>
      <c r="J163" s="97">
        <v>115102.91</v>
      </c>
      <c r="K163" s="97">
        <v>121280.39</v>
      </c>
    </row>
    <row r="164" spans="5:11" x14ac:dyDescent="0.25">
      <c r="E164" s="94" t="s">
        <v>162</v>
      </c>
      <c r="F164" s="97">
        <v>68446.03</v>
      </c>
      <c r="G164" s="97">
        <v>278802.84999999998</v>
      </c>
      <c r="H164" s="97">
        <v>194720.69</v>
      </c>
      <c r="I164" s="97">
        <v>284194.13</v>
      </c>
      <c r="J164" s="97">
        <v>115102.91</v>
      </c>
      <c r="K164" s="97">
        <v>121280.39</v>
      </c>
    </row>
    <row r="165" spans="5:11" x14ac:dyDescent="0.25">
      <c r="E165" s="94" t="s">
        <v>163</v>
      </c>
      <c r="F165" s="97"/>
      <c r="G165" s="97"/>
      <c r="H165" s="97"/>
      <c r="I165" s="97"/>
      <c r="J165" s="97"/>
      <c r="K165" s="97"/>
    </row>
    <row r="166" spans="5:11" x14ac:dyDescent="0.25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5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5">
      <c r="E168" s="94" t="s">
        <v>166</v>
      </c>
      <c r="F168" s="97">
        <v>29813.41</v>
      </c>
      <c r="G168" s="97">
        <v>28650.71</v>
      </c>
      <c r="H168" s="97">
        <v>29890.12</v>
      </c>
      <c r="I168" s="97">
        <v>28619.55</v>
      </c>
      <c r="J168" s="97">
        <v>23210.560000000001</v>
      </c>
      <c r="K168" s="97">
        <v>19126.48</v>
      </c>
    </row>
    <row r="169" spans="5:11" x14ac:dyDescent="0.25">
      <c r="E169" s="94" t="s">
        <v>167</v>
      </c>
      <c r="F169" s="97"/>
      <c r="G169" s="97"/>
      <c r="H169" s="97"/>
      <c r="I169" s="97"/>
      <c r="J169" s="97">
        <v>0</v>
      </c>
      <c r="K169" s="97">
        <v>27059.3</v>
      </c>
    </row>
    <row r="170" spans="5:11" x14ac:dyDescent="0.25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5">
      <c r="E171" s="94" t="s">
        <v>169</v>
      </c>
      <c r="F171" s="97">
        <v>2336762.12</v>
      </c>
      <c r="G171" s="97">
        <v>1977043.74</v>
      </c>
      <c r="H171" s="97">
        <v>1872714.06</v>
      </c>
      <c r="I171" s="97">
        <v>1710461.69</v>
      </c>
      <c r="J171" s="97">
        <v>1311095.3</v>
      </c>
      <c r="K171" s="97">
        <v>991999.09</v>
      </c>
    </row>
    <row r="172" spans="5:11" x14ac:dyDescent="0.25">
      <c r="E172" s="94" t="s">
        <v>170</v>
      </c>
      <c r="F172" s="97">
        <v>973843.13</v>
      </c>
      <c r="G172" s="97">
        <v>655206.43999999994</v>
      </c>
      <c r="H172" s="97">
        <v>342206.04</v>
      </c>
      <c r="I172" s="97">
        <v>255284.5</v>
      </c>
      <c r="J172" s="97">
        <v>190549.54</v>
      </c>
      <c r="K172" s="97">
        <v>121913.07</v>
      </c>
    </row>
    <row r="173" spans="5:11" x14ac:dyDescent="0.25">
      <c r="E173" s="94" t="s">
        <v>171</v>
      </c>
      <c r="F173" s="97">
        <v>500</v>
      </c>
      <c r="G173" s="97">
        <v>500</v>
      </c>
      <c r="H173" s="97">
        <v>500</v>
      </c>
      <c r="I173" s="97">
        <v>500</v>
      </c>
      <c r="J173" s="97">
        <v>500</v>
      </c>
      <c r="K173" s="97">
        <v>500</v>
      </c>
    </row>
    <row r="174" spans="5:11" x14ac:dyDescent="0.25">
      <c r="E174" s="94" t="s">
        <v>172</v>
      </c>
      <c r="F174" s="97">
        <v>653266.43999999994</v>
      </c>
      <c r="G174" s="97">
        <v>435675.88</v>
      </c>
      <c r="H174" s="97">
        <v>185183.15</v>
      </c>
      <c r="I174" s="97">
        <v>85085.48</v>
      </c>
      <c r="J174" s="97">
        <v>74294.91</v>
      </c>
      <c r="K174" s="97">
        <v>3617.66</v>
      </c>
    </row>
    <row r="175" spans="5:11" x14ac:dyDescent="0.25">
      <c r="E175" s="94" t="s">
        <v>173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174</v>
      </c>
      <c r="F176" s="97"/>
      <c r="G176" s="97"/>
      <c r="H176" s="97"/>
      <c r="I176" s="97"/>
      <c r="J176" s="97"/>
      <c r="K176" s="97"/>
    </row>
    <row r="177" spans="5:11" x14ac:dyDescent="0.25">
      <c r="E177" s="94" t="s">
        <v>175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176</v>
      </c>
      <c r="F178" s="97"/>
      <c r="G178" s="97"/>
      <c r="H178" s="97"/>
      <c r="I178" s="97"/>
      <c r="J178" s="97"/>
      <c r="K178" s="97"/>
    </row>
    <row r="179" spans="5:11" x14ac:dyDescent="0.25">
      <c r="E179" s="94" t="s">
        <v>177</v>
      </c>
      <c r="F179" s="97"/>
      <c r="G179" s="97"/>
      <c r="H179" s="97"/>
      <c r="I179" s="97"/>
      <c r="J179" s="97"/>
      <c r="K179" s="97"/>
    </row>
    <row r="180" spans="5:11" x14ac:dyDescent="0.25">
      <c r="E180" s="94" t="s">
        <v>178</v>
      </c>
      <c r="F180" s="97"/>
      <c r="G180" s="97"/>
      <c r="H180" s="97"/>
      <c r="I180" s="97"/>
      <c r="J180" s="97"/>
      <c r="K180" s="97"/>
    </row>
    <row r="181" spans="5:11" x14ac:dyDescent="0.25">
      <c r="E181" s="94" t="s">
        <v>179</v>
      </c>
      <c r="F181" s="97">
        <v>0</v>
      </c>
      <c r="G181" s="97">
        <v>0</v>
      </c>
      <c r="H181" s="97">
        <v>0</v>
      </c>
      <c r="I181" s="97">
        <v>2000</v>
      </c>
      <c r="J181" s="97">
        <v>-18297.93</v>
      </c>
      <c r="K181" s="97">
        <v>-43000</v>
      </c>
    </row>
    <row r="182" spans="5:11" x14ac:dyDescent="0.25">
      <c r="E182" s="94" t="s">
        <v>180</v>
      </c>
      <c r="F182" s="97">
        <v>320076.69</v>
      </c>
      <c r="G182" s="97">
        <v>219030.56</v>
      </c>
      <c r="H182" s="97">
        <v>156522.89000000001</v>
      </c>
      <c r="I182" s="97">
        <v>167699.01999999999</v>
      </c>
      <c r="J182" s="97">
        <v>134052.56</v>
      </c>
      <c r="K182" s="97">
        <v>160795.41</v>
      </c>
    </row>
    <row r="183" spans="5:11" x14ac:dyDescent="0.25">
      <c r="E183" s="94" t="s">
        <v>181</v>
      </c>
      <c r="F183" s="97"/>
      <c r="G183" s="97"/>
      <c r="H183" s="97"/>
      <c r="I183" s="97"/>
      <c r="J183" s="97"/>
      <c r="K183" s="97"/>
    </row>
    <row r="184" spans="5:11" x14ac:dyDescent="0.25">
      <c r="E184" s="94" t="s">
        <v>182</v>
      </c>
      <c r="F184" s="97">
        <v>1362918.99</v>
      </c>
      <c r="G184" s="97">
        <v>1321837.3</v>
      </c>
      <c r="H184" s="97">
        <v>1530508.02</v>
      </c>
      <c r="I184" s="97">
        <v>1455177.19</v>
      </c>
      <c r="J184" s="97">
        <v>1120545.76</v>
      </c>
      <c r="K184" s="97">
        <v>870086.02</v>
      </c>
    </row>
    <row r="185" spans="5:11" x14ac:dyDescent="0.25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</row>
    <row r="186" spans="5:11" x14ac:dyDescent="0.25">
      <c r="E186" s="94" t="s">
        <v>184</v>
      </c>
      <c r="F186" s="97"/>
      <c r="G186" s="97"/>
      <c r="H186" s="97"/>
      <c r="I186" s="97"/>
      <c r="J186" s="97"/>
      <c r="K186" s="97"/>
    </row>
    <row r="187" spans="5:11" x14ac:dyDescent="0.25">
      <c r="E187" s="94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</row>
    <row r="188" spans="5:11" x14ac:dyDescent="0.25">
      <c r="E188" s="94" t="s">
        <v>186</v>
      </c>
      <c r="F188" s="97"/>
      <c r="G188" s="97"/>
      <c r="H188" s="97"/>
      <c r="I188" s="97"/>
      <c r="J188" s="97"/>
      <c r="K188" s="97"/>
    </row>
    <row r="189" spans="5:11" x14ac:dyDescent="0.25">
      <c r="E189" s="94" t="s">
        <v>187</v>
      </c>
      <c r="F189" s="97"/>
      <c r="G189" s="97"/>
      <c r="H189" s="97"/>
      <c r="I189" s="97"/>
      <c r="J189" s="97"/>
      <c r="K189" s="97"/>
    </row>
    <row r="190" spans="5:11" x14ac:dyDescent="0.25">
      <c r="E190" s="94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</row>
    <row r="191" spans="5:11" x14ac:dyDescent="0.25">
      <c r="E191" s="94" t="s">
        <v>186</v>
      </c>
      <c r="F191" s="97"/>
      <c r="G191" s="97"/>
      <c r="H191" s="97"/>
      <c r="I191" s="97"/>
      <c r="J191" s="97"/>
      <c r="K191" s="97"/>
    </row>
    <row r="192" spans="5:11" x14ac:dyDescent="0.25">
      <c r="E192" s="94" t="s">
        <v>187</v>
      </c>
      <c r="F192" s="97"/>
      <c r="G192" s="97"/>
      <c r="H192" s="97"/>
      <c r="I192" s="97"/>
      <c r="J192" s="97"/>
      <c r="K192" s="97"/>
    </row>
    <row r="193" spans="5:11" x14ac:dyDescent="0.25">
      <c r="E193" s="94" t="s">
        <v>189</v>
      </c>
      <c r="F193" s="97">
        <v>795973</v>
      </c>
      <c r="G193" s="97">
        <v>968849.27</v>
      </c>
      <c r="H193" s="97">
        <v>1107119.24</v>
      </c>
      <c r="I193" s="97">
        <v>954743.02</v>
      </c>
      <c r="J193" s="97">
        <v>887291.24</v>
      </c>
      <c r="K193" s="97">
        <v>413298.36</v>
      </c>
    </row>
    <row r="194" spans="5:11" x14ac:dyDescent="0.25">
      <c r="E194" s="94" t="s">
        <v>190</v>
      </c>
      <c r="F194" s="97"/>
      <c r="G194" s="97"/>
      <c r="H194" s="97"/>
      <c r="I194" s="97"/>
      <c r="J194" s="97"/>
      <c r="K194" s="97"/>
    </row>
    <row r="195" spans="5:11" x14ac:dyDescent="0.25">
      <c r="E195" s="94" t="s">
        <v>191</v>
      </c>
      <c r="F195" s="97"/>
      <c r="G195" s="97"/>
      <c r="H195" s="97"/>
      <c r="I195" s="97"/>
      <c r="J195" s="97"/>
      <c r="K195" s="97"/>
    </row>
    <row r="196" spans="5:11" x14ac:dyDescent="0.25">
      <c r="E196" s="94" t="s">
        <v>192</v>
      </c>
      <c r="F196" s="97">
        <v>795973</v>
      </c>
      <c r="G196" s="97">
        <v>968849.27</v>
      </c>
      <c r="H196" s="97">
        <v>1107119.24</v>
      </c>
      <c r="I196" s="97">
        <v>954743.02</v>
      </c>
      <c r="J196" s="97">
        <v>887291.24</v>
      </c>
      <c r="K196" s="97">
        <v>413298.36</v>
      </c>
    </row>
    <row r="197" spans="5:11" x14ac:dyDescent="0.25">
      <c r="E197" s="94" t="s">
        <v>193</v>
      </c>
      <c r="F197" s="97">
        <v>795973</v>
      </c>
      <c r="G197" s="97">
        <v>968849.27</v>
      </c>
      <c r="H197" s="97">
        <v>1107119.24</v>
      </c>
      <c r="I197" s="97">
        <v>954743.02</v>
      </c>
      <c r="J197" s="97">
        <v>887291.24</v>
      </c>
      <c r="K197" s="97">
        <v>413298.36</v>
      </c>
    </row>
    <row r="198" spans="5:11" x14ac:dyDescent="0.25">
      <c r="E198" s="94" t="s">
        <v>194</v>
      </c>
      <c r="F198" s="97"/>
      <c r="G198" s="97"/>
      <c r="H198" s="97"/>
      <c r="I198" s="97"/>
      <c r="J198" s="97"/>
      <c r="K198" s="97"/>
    </row>
    <row r="199" spans="5:11" x14ac:dyDescent="0.25">
      <c r="E199" s="94" t="s">
        <v>195</v>
      </c>
      <c r="F199" s="97"/>
      <c r="G199" s="97"/>
      <c r="H199" s="97"/>
      <c r="I199" s="97"/>
      <c r="J199" s="97"/>
      <c r="K199" s="97"/>
    </row>
    <row r="200" spans="5:11" x14ac:dyDescent="0.25">
      <c r="E200" s="94" t="s">
        <v>196</v>
      </c>
      <c r="F200" s="97"/>
      <c r="G200" s="97"/>
      <c r="H200" s="97"/>
      <c r="I200" s="97"/>
      <c r="J200" s="97"/>
      <c r="K200" s="97"/>
    </row>
    <row r="201" spans="5:11" x14ac:dyDescent="0.25">
      <c r="E201" s="94" t="s">
        <v>197</v>
      </c>
      <c r="F201" s="97"/>
      <c r="G201" s="97"/>
      <c r="H201" s="97"/>
      <c r="I201" s="97"/>
      <c r="J201" s="97"/>
      <c r="K201" s="97"/>
    </row>
    <row r="202" spans="5:11" x14ac:dyDescent="0.25">
      <c r="E202" s="94" t="s">
        <v>198</v>
      </c>
      <c r="F202" s="97">
        <v>495574.47</v>
      </c>
      <c r="G202" s="97">
        <v>280966.09999999998</v>
      </c>
      <c r="H202" s="97">
        <v>342279.94</v>
      </c>
      <c r="I202" s="97">
        <v>408953.95</v>
      </c>
      <c r="J202" s="97">
        <v>173170.85</v>
      </c>
      <c r="K202" s="97">
        <v>244361.84</v>
      </c>
    </row>
    <row r="203" spans="5:11" x14ac:dyDescent="0.25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</row>
    <row r="204" spans="5:11" x14ac:dyDescent="0.25">
      <c r="E204" s="94" t="s">
        <v>199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>
        <v>0</v>
      </c>
    </row>
    <row r="205" spans="5:11" x14ac:dyDescent="0.25">
      <c r="E205" s="94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</row>
    <row r="206" spans="5:11" x14ac:dyDescent="0.25">
      <c r="E206" s="94" t="s">
        <v>146</v>
      </c>
      <c r="F206" s="97"/>
      <c r="G206" s="97"/>
      <c r="H206" s="97"/>
      <c r="I206" s="97"/>
      <c r="J206" s="97"/>
      <c r="K206" s="97"/>
    </row>
    <row r="207" spans="5:11" x14ac:dyDescent="0.25">
      <c r="E207" s="94" t="s">
        <v>147</v>
      </c>
      <c r="F207" s="97"/>
      <c r="G207" s="97"/>
      <c r="H207" s="97"/>
      <c r="I207" s="97"/>
      <c r="J207" s="97"/>
      <c r="K207" s="97"/>
    </row>
    <row r="208" spans="5:11" x14ac:dyDescent="0.25">
      <c r="E208" s="94" t="s">
        <v>148</v>
      </c>
      <c r="F208" s="97"/>
      <c r="G208" s="97"/>
      <c r="H208" s="97"/>
      <c r="I208" s="97"/>
      <c r="J208" s="97"/>
      <c r="K208" s="97"/>
    </row>
    <row r="209" spans="5:11" x14ac:dyDescent="0.25">
      <c r="E209" s="94" t="s">
        <v>192</v>
      </c>
      <c r="F209" s="97">
        <v>495574.47</v>
      </c>
      <c r="G209" s="97">
        <v>280966.09999999998</v>
      </c>
      <c r="H209" s="97">
        <v>342279.94</v>
      </c>
      <c r="I209" s="97">
        <v>408953.95</v>
      </c>
      <c r="J209" s="97">
        <v>173170.85</v>
      </c>
      <c r="K209" s="97">
        <v>244361.84</v>
      </c>
    </row>
    <row r="210" spans="5:11" x14ac:dyDescent="0.25">
      <c r="E210" s="94" t="s">
        <v>193</v>
      </c>
      <c r="F210" s="97">
        <v>251995.01</v>
      </c>
      <c r="G210" s="97">
        <v>106000</v>
      </c>
      <c r="H210" s="97">
        <v>106000</v>
      </c>
      <c r="I210" s="97">
        <v>214490</v>
      </c>
      <c r="J210" s="97">
        <v>56000</v>
      </c>
      <c r="K210" s="97">
        <v>100000</v>
      </c>
    </row>
    <row r="211" spans="5:11" x14ac:dyDescent="0.25">
      <c r="E211" s="94" t="s">
        <v>194</v>
      </c>
      <c r="F211" s="97"/>
      <c r="G211" s="97"/>
      <c r="H211" s="97"/>
      <c r="I211" s="97"/>
      <c r="J211" s="97"/>
      <c r="K211" s="97"/>
    </row>
    <row r="212" spans="5:11" x14ac:dyDescent="0.25">
      <c r="E212" s="94" t="s">
        <v>195</v>
      </c>
      <c r="F212" s="97"/>
      <c r="G212" s="97"/>
      <c r="H212" s="97"/>
      <c r="I212" s="97"/>
      <c r="J212" s="97"/>
      <c r="K212" s="97"/>
    </row>
    <row r="213" spans="5:11" x14ac:dyDescent="0.25">
      <c r="E213" s="94" t="s">
        <v>201</v>
      </c>
      <c r="F213" s="97">
        <v>119404.87</v>
      </c>
      <c r="G213" s="97">
        <v>64424.63</v>
      </c>
      <c r="H213" s="97">
        <v>124517.25</v>
      </c>
      <c r="I213" s="97">
        <v>74975.839999999997</v>
      </c>
      <c r="J213" s="97">
        <v>28932.21</v>
      </c>
      <c r="K213" s="97">
        <v>58686.58</v>
      </c>
    </row>
    <row r="214" spans="5:11" x14ac:dyDescent="0.25">
      <c r="E214" s="94" t="s">
        <v>146</v>
      </c>
      <c r="F214" s="97">
        <v>119404.87</v>
      </c>
      <c r="G214" s="97">
        <v>64424.63</v>
      </c>
      <c r="H214" s="97">
        <v>124517.25</v>
      </c>
      <c r="I214" s="97">
        <v>74975.839999999997</v>
      </c>
      <c r="J214" s="97">
        <v>28932.21</v>
      </c>
      <c r="K214" s="97">
        <v>58686.58</v>
      </c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202</v>
      </c>
      <c r="F216" s="97">
        <v>0</v>
      </c>
      <c r="G216" s="97">
        <v>0</v>
      </c>
      <c r="H216" s="97">
        <v>0</v>
      </c>
      <c r="I216" s="97">
        <v>10622.68</v>
      </c>
      <c r="J216" s="97"/>
      <c r="K216" s="97"/>
    </row>
    <row r="217" spans="5:11" x14ac:dyDescent="0.25">
      <c r="E217" s="94" t="s">
        <v>203</v>
      </c>
      <c r="F217" s="97"/>
      <c r="G217" s="97"/>
      <c r="H217" s="97"/>
      <c r="I217" s="97"/>
      <c r="J217" s="97"/>
      <c r="K217" s="97"/>
    </row>
    <row r="218" spans="5:11" x14ac:dyDescent="0.25">
      <c r="E218" s="94" t="s">
        <v>204</v>
      </c>
      <c r="F218" s="97">
        <v>59225.02</v>
      </c>
      <c r="G218" s="97">
        <v>44918.07</v>
      </c>
      <c r="H218" s="97">
        <v>58083.17</v>
      </c>
      <c r="I218" s="97">
        <v>56917.36</v>
      </c>
      <c r="J218" s="97">
        <v>50189.79</v>
      </c>
      <c r="K218" s="97">
        <v>50713.82</v>
      </c>
    </row>
    <row r="219" spans="5:11" x14ac:dyDescent="0.25">
      <c r="E219" s="94" t="s">
        <v>205</v>
      </c>
      <c r="F219" s="97">
        <v>64949.57</v>
      </c>
      <c r="G219" s="97">
        <v>62487.28</v>
      </c>
      <c r="H219" s="97">
        <v>50543.4</v>
      </c>
      <c r="I219" s="97">
        <v>47799.59</v>
      </c>
      <c r="J219" s="97">
        <v>36167.660000000003</v>
      </c>
      <c r="K219" s="97">
        <v>33423.83</v>
      </c>
    </row>
    <row r="220" spans="5:11" x14ac:dyDescent="0.25">
      <c r="E220" s="94" t="s">
        <v>206</v>
      </c>
      <c r="F220" s="97">
        <v>0</v>
      </c>
      <c r="G220" s="97">
        <v>3136.12</v>
      </c>
      <c r="H220" s="97">
        <v>3136.12</v>
      </c>
      <c r="I220" s="97">
        <v>4148.4799999999996</v>
      </c>
      <c r="J220" s="97">
        <v>1881.19</v>
      </c>
      <c r="K220" s="97">
        <v>1537.61</v>
      </c>
    </row>
    <row r="221" spans="5:11" x14ac:dyDescent="0.25">
      <c r="E221" s="94" t="s">
        <v>207</v>
      </c>
      <c r="F221" s="97"/>
      <c r="G221" s="97"/>
      <c r="H221" s="97"/>
      <c r="I221" s="97"/>
      <c r="J221" s="97"/>
      <c r="K221" s="97"/>
    </row>
    <row r="222" spans="5:11" x14ac:dyDescent="0.25">
      <c r="E222" s="94" t="s">
        <v>208</v>
      </c>
      <c r="F222" s="97">
        <v>71371.520000000004</v>
      </c>
      <c r="G222" s="97">
        <v>72021.929999999993</v>
      </c>
      <c r="H222" s="97">
        <v>81108.84</v>
      </c>
      <c r="I222" s="97">
        <v>91480.22</v>
      </c>
      <c r="J222" s="97">
        <v>60083.67</v>
      </c>
      <c r="K222" s="97">
        <v>212425.82</v>
      </c>
    </row>
    <row r="223" spans="5:11" x14ac:dyDescent="0.25">
      <c r="E223" s="94" t="s">
        <v>209</v>
      </c>
      <c r="F223" s="97"/>
      <c r="G223" s="97"/>
      <c r="H223" s="97"/>
      <c r="I223" s="97"/>
      <c r="J223" s="97"/>
      <c r="K223" s="97"/>
    </row>
    <row r="224" spans="5:11" x14ac:dyDescent="0.25">
      <c r="E224" s="94" t="s">
        <v>135</v>
      </c>
      <c r="F224" s="97">
        <v>71371.520000000004</v>
      </c>
      <c r="G224" s="97">
        <v>72021.929999999993</v>
      </c>
      <c r="H224" s="97">
        <v>81108.84</v>
      </c>
      <c r="I224" s="97">
        <v>91480.22</v>
      </c>
      <c r="J224" s="97">
        <v>60083.67</v>
      </c>
      <c r="K224" s="97">
        <v>212425.82</v>
      </c>
    </row>
    <row r="225" spans="5:11" x14ac:dyDescent="0.25">
      <c r="E225" s="94" t="s">
        <v>210</v>
      </c>
      <c r="F225" s="97">
        <v>71371.520000000004</v>
      </c>
      <c r="G225" s="97">
        <v>72021.929999999993</v>
      </c>
      <c r="H225" s="97">
        <v>81108.84</v>
      </c>
      <c r="I225" s="97">
        <v>91480.22</v>
      </c>
      <c r="J225" s="97">
        <v>60083.67</v>
      </c>
      <c r="K225" s="97">
        <v>173215.82</v>
      </c>
    </row>
    <row r="226" spans="5:11" x14ac:dyDescent="0.25">
      <c r="E226" s="94" t="s">
        <v>211</v>
      </c>
      <c r="F226" s="97"/>
      <c r="G226" s="97"/>
      <c r="H226" s="97"/>
      <c r="I226" s="97"/>
      <c r="J226" s="97">
        <v>0</v>
      </c>
      <c r="K226" s="97">
        <v>39210</v>
      </c>
    </row>
    <row r="227" spans="5:11" x14ac:dyDescent="0.25">
      <c r="E227" s="94" t="s">
        <v>212</v>
      </c>
      <c r="F227" s="97">
        <v>2336762.12</v>
      </c>
      <c r="G227" s="97">
        <v>1977043.74</v>
      </c>
      <c r="H227" s="97">
        <v>1872714.06</v>
      </c>
      <c r="I227" s="97">
        <v>1710461.69</v>
      </c>
      <c r="J227" s="97">
        <v>1311095.3</v>
      </c>
      <c r="K227" s="97">
        <v>991999.09</v>
      </c>
    </row>
    <row r="228" spans="5:11" x14ac:dyDescent="0.25">
      <c r="E228" s="94" t="s">
        <v>213</v>
      </c>
      <c r="F228" s="97">
        <v>3067591.84</v>
      </c>
      <c r="G228" s="97">
        <v>2584547.11</v>
      </c>
      <c r="H228" s="97">
        <v>2136947.9</v>
      </c>
      <c r="I228" s="97">
        <v>1708499.39</v>
      </c>
      <c r="J228" s="97">
        <v>1793324.38</v>
      </c>
      <c r="K228" s="97">
        <v>1578169.02</v>
      </c>
    </row>
    <row r="229" spans="5:11" x14ac:dyDescent="0.25">
      <c r="E229" s="94" t="s">
        <v>214</v>
      </c>
      <c r="F229" s="97"/>
      <c r="G229" s="97"/>
      <c r="H229" s="97"/>
      <c r="I229" s="97"/>
      <c r="J229" s="97"/>
      <c r="K229" s="97"/>
    </row>
    <row r="230" spans="5:11" x14ac:dyDescent="0.25">
      <c r="E230" s="94" t="s">
        <v>215</v>
      </c>
      <c r="F230" s="97">
        <v>2822800.43</v>
      </c>
      <c r="G230" s="97">
        <v>2249557.83</v>
      </c>
      <c r="H230" s="97">
        <v>2063391.11</v>
      </c>
      <c r="I230" s="97">
        <v>1690200</v>
      </c>
      <c r="J230" s="97">
        <v>1793324.38</v>
      </c>
      <c r="K230" s="97">
        <v>1578169.02</v>
      </c>
    </row>
    <row r="231" spans="5:11" x14ac:dyDescent="0.25">
      <c r="E231" s="94" t="s">
        <v>216</v>
      </c>
      <c r="F231" s="97"/>
      <c r="G231" s="97"/>
      <c r="H231" s="97"/>
      <c r="I231" s="97"/>
      <c r="J231" s="97"/>
      <c r="K231" s="97"/>
    </row>
    <row r="232" spans="5:11" x14ac:dyDescent="0.25">
      <c r="E232" s="94" t="s">
        <v>217</v>
      </c>
      <c r="F232" s="97"/>
      <c r="G232" s="97"/>
      <c r="H232" s="97"/>
      <c r="I232" s="97"/>
      <c r="J232" s="97"/>
      <c r="K232" s="97"/>
    </row>
    <row r="233" spans="5:11" x14ac:dyDescent="0.25">
      <c r="E233" s="94" t="s">
        <v>218</v>
      </c>
      <c r="F233" s="97">
        <v>244791.41</v>
      </c>
      <c r="G233" s="97">
        <v>334989.28000000003</v>
      </c>
      <c r="H233" s="97">
        <v>73556.789999999994</v>
      </c>
      <c r="I233" s="97">
        <v>18299.39</v>
      </c>
      <c r="J233" s="97"/>
      <c r="K233" s="97"/>
    </row>
    <row r="234" spans="5:11" x14ac:dyDescent="0.25">
      <c r="E234" s="94" t="s">
        <v>219</v>
      </c>
      <c r="F234" s="97">
        <v>2706865.08</v>
      </c>
      <c r="G234" s="97">
        <v>2358746.1</v>
      </c>
      <c r="H234" s="97">
        <v>2246436.75</v>
      </c>
      <c r="I234" s="97">
        <v>1816912.73</v>
      </c>
      <c r="J234" s="97">
        <v>2026489.16</v>
      </c>
      <c r="K234" s="97">
        <v>1710113.48</v>
      </c>
    </row>
    <row r="235" spans="5:11" x14ac:dyDescent="0.25">
      <c r="E235" s="94" t="s">
        <v>220</v>
      </c>
      <c r="F235" s="97">
        <v>77922.100000000006</v>
      </c>
      <c r="G235" s="97">
        <v>126764.11</v>
      </c>
      <c r="H235" s="97">
        <v>97731.32</v>
      </c>
      <c r="I235" s="97">
        <v>76914.64</v>
      </c>
      <c r="J235" s="97">
        <v>55449.43</v>
      </c>
      <c r="K235" s="97">
        <v>71511.070000000007</v>
      </c>
    </row>
    <row r="236" spans="5:11" x14ac:dyDescent="0.25">
      <c r="E236" s="94" t="s">
        <v>221</v>
      </c>
      <c r="F236" s="97">
        <v>714941.04</v>
      </c>
      <c r="G236" s="97">
        <v>773241.47</v>
      </c>
      <c r="H236" s="97">
        <v>583848.66</v>
      </c>
      <c r="I236" s="97">
        <v>481331.23</v>
      </c>
      <c r="J236" s="97">
        <v>677873.8</v>
      </c>
      <c r="K236" s="97">
        <v>454002.58</v>
      </c>
    </row>
    <row r="237" spans="5:11" x14ac:dyDescent="0.25">
      <c r="E237" s="94" t="s">
        <v>222</v>
      </c>
      <c r="F237" s="97">
        <v>617355.55000000005</v>
      </c>
      <c r="G237" s="97">
        <v>377484.46</v>
      </c>
      <c r="H237" s="97">
        <v>430627.76</v>
      </c>
      <c r="I237" s="97">
        <v>261378.97</v>
      </c>
      <c r="J237" s="97">
        <v>303144.33</v>
      </c>
      <c r="K237" s="97">
        <v>178005.24</v>
      </c>
    </row>
    <row r="238" spans="5:11" x14ac:dyDescent="0.25">
      <c r="E238" s="94" t="s">
        <v>223</v>
      </c>
      <c r="F238" s="97">
        <v>75.540000000000006</v>
      </c>
      <c r="G238" s="97">
        <v>8737.2999999999993</v>
      </c>
      <c r="H238" s="97">
        <v>2396.75</v>
      </c>
      <c r="I238" s="97">
        <v>1689.49</v>
      </c>
      <c r="J238" s="97">
        <v>3287.22</v>
      </c>
      <c r="K238" s="97">
        <v>3253.86</v>
      </c>
    </row>
    <row r="239" spans="5:11" x14ac:dyDescent="0.25">
      <c r="E239" s="94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</row>
    <row r="240" spans="5:11" x14ac:dyDescent="0.25">
      <c r="E240" s="94" t="s">
        <v>225</v>
      </c>
      <c r="F240" s="97">
        <v>792969.55</v>
      </c>
      <c r="G240" s="97">
        <v>723922.25</v>
      </c>
      <c r="H240" s="97">
        <v>782953.57</v>
      </c>
      <c r="I240" s="97">
        <v>675998.69</v>
      </c>
      <c r="J240" s="97">
        <v>692532.36</v>
      </c>
      <c r="K240" s="97">
        <v>546348.21</v>
      </c>
    </row>
    <row r="241" spans="5:11" x14ac:dyDescent="0.25">
      <c r="E241" s="94" t="s">
        <v>226</v>
      </c>
      <c r="F241" s="97">
        <v>181735.09</v>
      </c>
      <c r="G241" s="97">
        <v>172294.29</v>
      </c>
      <c r="H241" s="97">
        <v>171979.42</v>
      </c>
      <c r="I241" s="97">
        <v>186148.21</v>
      </c>
      <c r="J241" s="97">
        <v>123770.78</v>
      </c>
      <c r="K241" s="97">
        <v>127264.28</v>
      </c>
    </row>
    <row r="242" spans="5:11" x14ac:dyDescent="0.25">
      <c r="E242" s="94" t="s">
        <v>227</v>
      </c>
      <c r="F242" s="97">
        <v>0</v>
      </c>
      <c r="G242" s="97">
        <v>0</v>
      </c>
      <c r="H242" s="97">
        <v>0</v>
      </c>
      <c r="I242" s="97">
        <v>90469.32</v>
      </c>
      <c r="J242" s="97">
        <v>62657.24</v>
      </c>
      <c r="K242" s="97">
        <v>51717.09</v>
      </c>
    </row>
    <row r="243" spans="5:11" x14ac:dyDescent="0.25">
      <c r="E243" s="94" t="s">
        <v>228</v>
      </c>
      <c r="F243" s="97">
        <v>66829.990000000005</v>
      </c>
      <c r="G243" s="97">
        <v>98223.89</v>
      </c>
      <c r="H243" s="97">
        <v>137159.17000000001</v>
      </c>
      <c r="I243" s="97">
        <v>121425.01</v>
      </c>
      <c r="J243" s="97">
        <v>170431.24</v>
      </c>
      <c r="K243" s="97">
        <v>329728.24</v>
      </c>
    </row>
    <row r="244" spans="5:11" x14ac:dyDescent="0.25">
      <c r="E244" s="94" t="s">
        <v>229</v>
      </c>
      <c r="F244" s="97">
        <v>255036.22</v>
      </c>
      <c r="G244" s="97">
        <v>78078.33</v>
      </c>
      <c r="H244" s="97">
        <v>39740.1</v>
      </c>
      <c r="I244" s="97">
        <v>12026.49</v>
      </c>
      <c r="J244" s="97"/>
      <c r="K244" s="97"/>
    </row>
    <row r="245" spans="5:11" x14ac:dyDescent="0.25">
      <c r="E245" s="94" t="s">
        <v>230</v>
      </c>
      <c r="F245" s="97">
        <v>360726.76</v>
      </c>
      <c r="G245" s="97">
        <v>225801.01</v>
      </c>
      <c r="H245" s="97">
        <v>-109488.85</v>
      </c>
      <c r="I245" s="97">
        <v>-108413.34</v>
      </c>
      <c r="J245" s="97">
        <v>-233164.78</v>
      </c>
      <c r="K245" s="97">
        <v>-131944.46</v>
      </c>
    </row>
    <row r="246" spans="5:11" x14ac:dyDescent="0.25">
      <c r="E246" s="94" t="s">
        <v>231</v>
      </c>
      <c r="F246" s="97">
        <v>9273.36</v>
      </c>
      <c r="G246" s="97">
        <v>341656.78</v>
      </c>
      <c r="H246" s="97">
        <v>620622.47</v>
      </c>
      <c r="I246" s="97">
        <v>722782.85</v>
      </c>
      <c r="J246" s="97">
        <v>413402.33</v>
      </c>
      <c r="K246" s="97">
        <v>328851.84999999998</v>
      </c>
    </row>
    <row r="247" spans="5:11" x14ac:dyDescent="0.25">
      <c r="E247" s="94" t="s">
        <v>232</v>
      </c>
      <c r="F247" s="97">
        <v>0</v>
      </c>
      <c r="G247" s="97">
        <v>47648.24</v>
      </c>
      <c r="H247" s="97">
        <v>0</v>
      </c>
      <c r="I247" s="97">
        <v>0</v>
      </c>
      <c r="J247" s="97">
        <v>11788.62</v>
      </c>
      <c r="K247" s="97">
        <v>1300.81</v>
      </c>
    </row>
    <row r="248" spans="5:11" x14ac:dyDescent="0.25">
      <c r="E248" s="94" t="s">
        <v>233</v>
      </c>
      <c r="F248" s="97">
        <v>0</v>
      </c>
      <c r="G248" s="97">
        <v>276392.40000000002</v>
      </c>
      <c r="H248" s="97">
        <v>485930.23999999999</v>
      </c>
      <c r="I248" s="97">
        <v>514602.09</v>
      </c>
      <c r="J248" s="97">
        <v>263408.19</v>
      </c>
      <c r="K248" s="97">
        <v>299715.89</v>
      </c>
    </row>
    <row r="249" spans="5:11" x14ac:dyDescent="0.25">
      <c r="E249" s="94" t="s">
        <v>234</v>
      </c>
      <c r="F249" s="97"/>
      <c r="G249" s="97"/>
      <c r="H249" s="97"/>
      <c r="I249" s="97"/>
      <c r="J249" s="97"/>
      <c r="K249" s="97"/>
    </row>
    <row r="250" spans="5:11" x14ac:dyDescent="0.25">
      <c r="E250" s="94" t="s">
        <v>235</v>
      </c>
      <c r="F250" s="97">
        <v>9273.36</v>
      </c>
      <c r="G250" s="97">
        <v>17616.14</v>
      </c>
      <c r="H250" s="97">
        <v>134692.23000000001</v>
      </c>
      <c r="I250" s="97">
        <v>208180.76</v>
      </c>
      <c r="J250" s="97">
        <v>138205.51999999999</v>
      </c>
      <c r="K250" s="97">
        <v>27835.15</v>
      </c>
    </row>
    <row r="251" spans="5:11" x14ac:dyDescent="0.25">
      <c r="E251" s="94" t="s">
        <v>236</v>
      </c>
      <c r="F251" s="97">
        <v>3215.36</v>
      </c>
      <c r="G251" s="97">
        <v>278331.13</v>
      </c>
      <c r="H251" s="97">
        <v>318664.59000000003</v>
      </c>
      <c r="I251" s="97">
        <v>400472.46</v>
      </c>
      <c r="J251" s="97">
        <v>3865.18</v>
      </c>
      <c r="K251" s="97">
        <v>3801.08</v>
      </c>
    </row>
    <row r="252" spans="5:11" x14ac:dyDescent="0.25">
      <c r="E252" s="94" t="s">
        <v>237</v>
      </c>
      <c r="F252" s="97"/>
      <c r="G252" s="97"/>
      <c r="H252" s="97"/>
      <c r="I252" s="97"/>
      <c r="J252" s="97"/>
      <c r="K252" s="97">
        <v>0</v>
      </c>
    </row>
    <row r="253" spans="5:11" x14ac:dyDescent="0.25">
      <c r="E253" s="94" t="s">
        <v>238</v>
      </c>
      <c r="F253" s="97"/>
      <c r="G253" s="97"/>
      <c r="H253" s="97"/>
      <c r="I253" s="97"/>
      <c r="J253" s="97"/>
      <c r="K253" s="97"/>
    </row>
    <row r="254" spans="5:11" x14ac:dyDescent="0.25">
      <c r="E254" s="94" t="s">
        <v>239</v>
      </c>
      <c r="F254" s="97">
        <v>3215.36</v>
      </c>
      <c r="G254" s="97">
        <v>278331.13</v>
      </c>
      <c r="H254" s="97">
        <v>318664.59000000003</v>
      </c>
      <c r="I254" s="97">
        <v>400472.46</v>
      </c>
      <c r="J254" s="97">
        <v>3865.18</v>
      </c>
      <c r="K254" s="97">
        <v>3801.08</v>
      </c>
    </row>
    <row r="255" spans="5:11" x14ac:dyDescent="0.25">
      <c r="E255" s="94" t="s">
        <v>240</v>
      </c>
      <c r="F255" s="97">
        <v>366784.76</v>
      </c>
      <c r="G255" s="97">
        <v>289126.65999999997</v>
      </c>
      <c r="H255" s="97">
        <v>192469.03</v>
      </c>
      <c r="I255" s="97">
        <v>213897.05</v>
      </c>
      <c r="J255" s="97">
        <v>176372.37</v>
      </c>
      <c r="K255" s="97">
        <v>193106.31</v>
      </c>
    </row>
    <row r="256" spans="5:11" x14ac:dyDescent="0.25">
      <c r="E256" s="94" t="s">
        <v>241</v>
      </c>
      <c r="F256" s="97"/>
      <c r="G256" s="97"/>
      <c r="H256" s="97"/>
      <c r="I256" s="97"/>
      <c r="J256" s="97"/>
      <c r="K256" s="97"/>
    </row>
    <row r="257" spans="5:11" x14ac:dyDescent="0.25">
      <c r="E257" s="94" t="s">
        <v>242</v>
      </c>
      <c r="F257" s="97"/>
      <c r="G257" s="97"/>
      <c r="H257" s="97"/>
      <c r="I257" s="97"/>
      <c r="J257" s="97"/>
      <c r="K257" s="97"/>
    </row>
    <row r="258" spans="5:11" x14ac:dyDescent="0.25">
      <c r="E258" s="94" t="s">
        <v>243</v>
      </c>
      <c r="F258" s="97"/>
      <c r="G258" s="97"/>
      <c r="H258" s="97"/>
      <c r="I258" s="97"/>
      <c r="J258" s="97"/>
      <c r="K258" s="97"/>
    </row>
    <row r="259" spans="5:11" x14ac:dyDescent="0.25">
      <c r="E259" s="94" t="s">
        <v>244</v>
      </c>
      <c r="F259" s="97"/>
      <c r="G259" s="97"/>
      <c r="H259" s="97"/>
      <c r="I259" s="97"/>
      <c r="J259" s="97"/>
      <c r="K259" s="97"/>
    </row>
    <row r="260" spans="5:11" x14ac:dyDescent="0.25">
      <c r="E260" s="94" t="s">
        <v>245</v>
      </c>
      <c r="F260" s="97"/>
      <c r="G260" s="97"/>
      <c r="H260" s="97"/>
      <c r="I260" s="97"/>
      <c r="J260" s="97"/>
      <c r="K260" s="97"/>
    </row>
    <row r="261" spans="5:11" x14ac:dyDescent="0.25">
      <c r="E261" s="94" t="s">
        <v>244</v>
      </c>
      <c r="F261" s="97"/>
      <c r="G261" s="97"/>
      <c r="H261" s="97"/>
      <c r="I261" s="97"/>
      <c r="J261" s="97"/>
      <c r="K261" s="97"/>
    </row>
    <row r="262" spans="5:11" x14ac:dyDescent="0.25">
      <c r="E262" s="94" t="s">
        <v>246</v>
      </c>
      <c r="F262" s="97"/>
      <c r="G262" s="97"/>
      <c r="H262" s="97"/>
      <c r="I262" s="97"/>
      <c r="J262" s="97"/>
      <c r="K262" s="97"/>
    </row>
    <row r="263" spans="5:11" x14ac:dyDescent="0.25">
      <c r="E263" s="94" t="s">
        <v>247</v>
      </c>
      <c r="F263" s="97"/>
      <c r="G263" s="97"/>
      <c r="H263" s="97"/>
      <c r="I263" s="97"/>
      <c r="J263" s="97"/>
      <c r="K263" s="97"/>
    </row>
    <row r="264" spans="5:11" x14ac:dyDescent="0.25">
      <c r="E264" s="94" t="s">
        <v>248</v>
      </c>
      <c r="F264" s="97"/>
      <c r="G264" s="97"/>
      <c r="H264" s="97"/>
      <c r="I264" s="97"/>
      <c r="J264" s="97"/>
      <c r="K264" s="97"/>
    </row>
    <row r="265" spans="5:11" x14ac:dyDescent="0.25">
      <c r="E265" s="94" t="s">
        <v>249</v>
      </c>
      <c r="F265" s="97"/>
      <c r="G265" s="97"/>
      <c r="H265" s="97"/>
      <c r="I265" s="97"/>
      <c r="J265" s="97"/>
      <c r="K265" s="97"/>
    </row>
    <row r="266" spans="5:11" x14ac:dyDescent="0.25">
      <c r="E266" s="94" t="s">
        <v>250</v>
      </c>
      <c r="F266" s="97"/>
      <c r="G266" s="97"/>
      <c r="H266" s="97"/>
      <c r="I266" s="97"/>
      <c r="J266" s="97"/>
      <c r="K266" s="97"/>
    </row>
    <row r="267" spans="5:11" x14ac:dyDescent="0.25">
      <c r="E267" s="94" t="s">
        <v>251</v>
      </c>
      <c r="F267" s="97"/>
      <c r="G267" s="97"/>
      <c r="H267" s="97"/>
      <c r="I267" s="97"/>
      <c r="J267" s="97"/>
      <c r="K267" s="97"/>
    </row>
    <row r="268" spans="5:11" x14ac:dyDescent="0.25">
      <c r="E268" s="94" t="s">
        <v>252</v>
      </c>
      <c r="F268" s="97">
        <v>10907.07</v>
      </c>
      <c r="G268" s="97">
        <v>44117.1</v>
      </c>
      <c r="H268" s="97">
        <v>22070.14</v>
      </c>
      <c r="I268" s="97">
        <v>22003.03</v>
      </c>
      <c r="J268" s="97">
        <v>33317.81</v>
      </c>
      <c r="K268" s="97">
        <v>7463.9</v>
      </c>
    </row>
    <row r="269" spans="5:11" x14ac:dyDescent="0.25">
      <c r="E269" s="94" t="s">
        <v>253</v>
      </c>
      <c r="F269" s="97">
        <v>5710.64</v>
      </c>
      <c r="G269" s="97">
        <v>23739.119999999999</v>
      </c>
      <c r="H269" s="97">
        <v>22070.14</v>
      </c>
      <c r="I269" s="97">
        <v>22003.03</v>
      </c>
      <c r="J269" s="97">
        <v>33309.269999999997</v>
      </c>
      <c r="K269" s="97">
        <v>7458.77</v>
      </c>
    </row>
    <row r="270" spans="5:11" x14ac:dyDescent="0.25">
      <c r="E270" s="94" t="s">
        <v>254</v>
      </c>
      <c r="F270" s="97"/>
      <c r="G270" s="97"/>
      <c r="H270" s="97"/>
      <c r="I270" s="97"/>
      <c r="J270" s="97"/>
      <c r="K270" s="97"/>
    </row>
    <row r="271" spans="5:11" x14ac:dyDescent="0.25">
      <c r="E271" s="94" t="s">
        <v>255</v>
      </c>
      <c r="F271" s="97"/>
      <c r="G271" s="97"/>
      <c r="H271" s="97"/>
      <c r="I271" s="97"/>
      <c r="J271" s="97"/>
      <c r="K271" s="97"/>
    </row>
    <row r="272" spans="5:11" x14ac:dyDescent="0.25">
      <c r="E272" s="94" t="s">
        <v>249</v>
      </c>
      <c r="F272" s="97"/>
      <c r="G272" s="97"/>
      <c r="H272" s="97"/>
      <c r="I272" s="97"/>
      <c r="J272" s="97"/>
      <c r="K272" s="97"/>
    </row>
    <row r="273" spans="5:11" x14ac:dyDescent="0.25">
      <c r="E273" s="94" t="s">
        <v>256</v>
      </c>
      <c r="F273" s="97"/>
      <c r="G273" s="97"/>
      <c r="H273" s="97"/>
      <c r="I273" s="97"/>
      <c r="J273" s="97"/>
      <c r="K273" s="97"/>
    </row>
    <row r="274" spans="5:11" x14ac:dyDescent="0.25">
      <c r="E274" s="94" t="s">
        <v>257</v>
      </c>
      <c r="F274" s="97">
        <v>5196.43</v>
      </c>
      <c r="G274" s="97">
        <v>20377.98</v>
      </c>
      <c r="H274" s="97">
        <v>0</v>
      </c>
      <c r="I274" s="97">
        <v>0</v>
      </c>
      <c r="J274" s="97">
        <v>8.5399999999999991</v>
      </c>
      <c r="K274" s="97">
        <v>5.13</v>
      </c>
    </row>
    <row r="275" spans="5:11" x14ac:dyDescent="0.25">
      <c r="E275" s="94" t="s">
        <v>258</v>
      </c>
      <c r="F275" s="97">
        <v>355877.69</v>
      </c>
      <c r="G275" s="97">
        <v>245009.56</v>
      </c>
      <c r="H275" s="97">
        <v>170398.89</v>
      </c>
      <c r="I275" s="97">
        <v>191894.02</v>
      </c>
      <c r="J275" s="97">
        <v>143054.56</v>
      </c>
      <c r="K275" s="97">
        <v>185642.41</v>
      </c>
    </row>
    <row r="276" spans="5:11" x14ac:dyDescent="0.25">
      <c r="E276" s="94" t="s">
        <v>259</v>
      </c>
      <c r="F276" s="97">
        <v>35801</v>
      </c>
      <c r="G276" s="97">
        <v>25979</v>
      </c>
      <c r="H276" s="97">
        <v>13876</v>
      </c>
      <c r="I276" s="97">
        <v>24195</v>
      </c>
      <c r="J276" s="97">
        <v>9002</v>
      </c>
      <c r="K276" s="97">
        <v>24847</v>
      </c>
    </row>
    <row r="277" spans="5:11" x14ac:dyDescent="0.25">
      <c r="E277" s="94" t="s">
        <v>260</v>
      </c>
      <c r="F277" s="97"/>
      <c r="G277" s="97"/>
      <c r="H277" s="97"/>
      <c r="I277" s="97"/>
      <c r="J277" s="97"/>
      <c r="K277" s="97"/>
    </row>
    <row r="278" spans="5:11" x14ac:dyDescent="0.25">
      <c r="E278" s="94" t="s">
        <v>261</v>
      </c>
      <c r="F278" s="97">
        <v>320076.69</v>
      </c>
      <c r="G278" s="97">
        <v>219030.56</v>
      </c>
      <c r="H278" s="97">
        <v>156522.89000000001</v>
      </c>
      <c r="I278" s="97">
        <v>167699.01999999999</v>
      </c>
      <c r="J278" s="97">
        <v>134052.56</v>
      </c>
      <c r="K278" s="97">
        <v>160795.41</v>
      </c>
    </row>
    <row r="279" spans="5:11" x14ac:dyDescent="0.25">
      <c r="F279" s="97"/>
      <c r="G279" s="97"/>
      <c r="H279" s="97"/>
      <c r="I279" s="97"/>
      <c r="J279" s="97"/>
      <c r="K279" s="97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CEB35-4C9A-4F26-9DDC-AD6183C359EE}">
  <sheetPr>
    <tabColor theme="4" tint="0.79998168889431442"/>
  </sheetPr>
  <dimension ref="A1:L279"/>
  <sheetViews>
    <sheetView topLeftCell="A242" workbookViewId="0">
      <selection sqref="A1:L280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3.8" x14ac:dyDescent="0.25">
      <c r="E1" s="181" t="s">
        <v>409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0.82366706471070583</v>
      </c>
      <c r="B4" s="139">
        <f>MAX(F4:K4)</f>
        <v>1.0991612213838644</v>
      </c>
      <c r="C4" s="155">
        <f>AVERAGE(F4:K4)</f>
        <v>1.0193908246786607</v>
      </c>
      <c r="D4" s="156">
        <f>MEDIAN(F4:K4)</f>
        <v>1.0363639221619732</v>
      </c>
      <c r="E4" s="47" t="s">
        <v>364</v>
      </c>
      <c r="F4" s="71">
        <f>SUM(F9:F12)/SUM(F13:F15)</f>
        <v>0.82366706471070583</v>
      </c>
      <c r="G4" s="71">
        <f t="shared" ref="G4:K4" si="0">SUM(G9:G12)/SUM(G13:G15)</f>
        <v>1.0991612213838644</v>
      </c>
      <c r="H4" s="71">
        <f t="shared" si="0"/>
        <v>1.098344160553004</v>
      </c>
      <c r="I4" s="71">
        <f t="shared" si="0"/>
        <v>1.0501002477319248</v>
      </c>
      <c r="J4" s="71">
        <f t="shared" si="0"/>
        <v>1.0224446571004457</v>
      </c>
      <c r="K4" s="71">
        <f t="shared" si="0"/>
        <v>1.0226275965920213</v>
      </c>
    </row>
    <row r="5" spans="1:11" x14ac:dyDescent="0.25">
      <c r="A5" s="139">
        <f t="shared" ref="A5:A7" si="1">MIN(F5:K5)</f>
        <v>1.086696950305885</v>
      </c>
      <c r="B5" s="139">
        <f t="shared" ref="B5:B7" si="2">MAX(F5:K5)</f>
        <v>93.278060349272877</v>
      </c>
      <c r="C5" s="155">
        <f t="shared" ref="C5:C7" si="3">AVERAGEIF(F5:K5,"&gt;0")</f>
        <v>21.175685602506647</v>
      </c>
      <c r="D5" s="156">
        <f t="shared" ref="D5:D7" si="4">_xlfn.AGGREGATE(12,6,F5:K5)</f>
        <v>7.130899150325412</v>
      </c>
      <c r="E5" s="47" t="s">
        <v>363</v>
      </c>
      <c r="F5" s="71">
        <f t="shared" ref="F5:K5" si="5">SUM(F9:F12)/F14</f>
        <v>7.5773491815912708</v>
      </c>
      <c r="G5" s="71">
        <f t="shared" si="5"/>
        <v>17.282836452372507</v>
      </c>
      <c r="H5" s="71">
        <f t="shared" si="5"/>
        <v>6.6844491190595523</v>
      </c>
      <c r="I5" s="71">
        <f t="shared" si="5"/>
        <v>93.278060349272877</v>
      </c>
      <c r="J5" s="71">
        <f t="shared" si="5"/>
        <v>1.1447215624378</v>
      </c>
      <c r="K5" s="71">
        <f t="shared" si="5"/>
        <v>1.086696950305885</v>
      </c>
    </row>
    <row r="6" spans="1:11" x14ac:dyDescent="0.25">
      <c r="A6" s="139">
        <f t="shared" si="1"/>
        <v>1.086696950305885</v>
      </c>
      <c r="B6" s="139">
        <f t="shared" si="2"/>
        <v>93.152005568249464</v>
      </c>
      <c r="C6" s="155">
        <f t="shared" si="3"/>
        <v>21.148316786080393</v>
      </c>
      <c r="D6" s="156">
        <f t="shared" si="4"/>
        <v>7.1169034767985133</v>
      </c>
      <c r="E6" s="47" t="s">
        <v>365</v>
      </c>
      <c r="F6" s="71">
        <f t="shared" ref="F6:K6" si="6">SUM(F10:F11)/F14</f>
        <v>7.556198012596564</v>
      </c>
      <c r="G6" s="71">
        <f t="shared" si="6"/>
        <v>17.272669681892193</v>
      </c>
      <c r="H6" s="71">
        <f t="shared" si="6"/>
        <v>6.6776089410004627</v>
      </c>
      <c r="I6" s="71">
        <f t="shared" si="6"/>
        <v>93.152005568249464</v>
      </c>
      <c r="J6" s="71">
        <f t="shared" si="6"/>
        <v>1.1447215624378</v>
      </c>
      <c r="K6" s="71">
        <f t="shared" si="6"/>
        <v>1.086696950305885</v>
      </c>
    </row>
    <row r="7" spans="1:11" ht="13.8" thickBot="1" x14ac:dyDescent="0.3">
      <c r="A7" s="139">
        <f t="shared" si="1"/>
        <v>0.3827090025511457</v>
      </c>
      <c r="B7" s="139">
        <f t="shared" si="2"/>
        <v>88.940194321716788</v>
      </c>
      <c r="C7" s="155">
        <f t="shared" si="3"/>
        <v>19.758000808763018</v>
      </c>
      <c r="D7" s="156">
        <f t="shared" si="4"/>
        <v>6.0884871475544768</v>
      </c>
      <c r="E7" s="49" t="s">
        <v>366</v>
      </c>
      <c r="F7" s="73">
        <f t="shared" ref="F7:K7" si="7">F11/F14</f>
        <v>5.8491212863950146</v>
      </c>
      <c r="G7" s="73">
        <f t="shared" si="7"/>
        <v>16.54923351072468</v>
      </c>
      <c r="H7" s="73">
        <f t="shared" si="7"/>
        <v>6.3278530087139391</v>
      </c>
      <c r="I7" s="73">
        <f t="shared" si="7"/>
        <v>88.940194321716788</v>
      </c>
      <c r="J7" s="73">
        <f t="shared" si="7"/>
        <v>0.3827090025511457</v>
      </c>
      <c r="K7" s="73">
        <f t="shared" si="7"/>
        <v>0.49889372247653802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133611.12</v>
      </c>
      <c r="G10" s="76">
        <f t="shared" ref="G10:K10" si="9">G133</f>
        <v>108338.56</v>
      </c>
      <c r="H10" s="76">
        <f t="shared" si="9"/>
        <v>94981.83</v>
      </c>
      <c r="I10" s="76">
        <f t="shared" si="9"/>
        <v>102507.02</v>
      </c>
      <c r="J10" s="76">
        <f t="shared" si="9"/>
        <v>3927841.32</v>
      </c>
      <c r="K10" s="76">
        <f t="shared" si="9"/>
        <v>2533290.5099999998</v>
      </c>
    </row>
    <row r="11" spans="1:11" x14ac:dyDescent="0.25">
      <c r="E11" s="43" t="s">
        <v>287</v>
      </c>
      <c r="F11" s="76">
        <f>F151</f>
        <v>457804.64</v>
      </c>
      <c r="G11" s="76">
        <f t="shared" ref="G11:K11" si="10">G151</f>
        <v>2478339.0699999998</v>
      </c>
      <c r="H11" s="76">
        <f t="shared" si="10"/>
        <v>1718429.92</v>
      </c>
      <c r="I11" s="76">
        <f t="shared" si="10"/>
        <v>2164625.56</v>
      </c>
      <c r="J11" s="76">
        <f t="shared" si="10"/>
        <v>1972697.45</v>
      </c>
      <c r="K11" s="76">
        <f t="shared" si="10"/>
        <v>2150111.9300000002</v>
      </c>
    </row>
    <row r="12" spans="1:11" x14ac:dyDescent="0.25">
      <c r="E12" s="43" t="s">
        <v>290</v>
      </c>
      <c r="F12" s="76">
        <f>F168</f>
        <v>1655.48</v>
      </c>
      <c r="G12" s="76">
        <f t="shared" ref="G12:K12" si="11">G168</f>
        <v>1522.53</v>
      </c>
      <c r="H12" s="76">
        <f t="shared" si="11"/>
        <v>1857.56</v>
      </c>
      <c r="I12" s="76">
        <f t="shared" si="11"/>
        <v>3067.92</v>
      </c>
      <c r="J12" s="76">
        <f t="shared" si="11"/>
        <v>0</v>
      </c>
      <c r="K12" s="76">
        <f t="shared" si="11"/>
        <v>0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2280.33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78268.960000000006</v>
      </c>
      <c r="G14" s="76">
        <f t="shared" ref="G14:K14" si="13">G202</f>
        <v>149755.51999999999</v>
      </c>
      <c r="H14" s="76">
        <f t="shared" si="13"/>
        <v>271566.03000000003</v>
      </c>
      <c r="I14" s="76">
        <f t="shared" si="13"/>
        <v>24337.99</v>
      </c>
      <c r="J14" s="76">
        <f t="shared" si="13"/>
        <v>5154562.4400000004</v>
      </c>
      <c r="K14" s="76">
        <f t="shared" si="13"/>
        <v>4309759.4400000004</v>
      </c>
    </row>
    <row r="15" spans="1:11" x14ac:dyDescent="0.25">
      <c r="E15" s="43" t="s">
        <v>362</v>
      </c>
      <c r="F15" s="76">
        <f>F222</f>
        <v>641768.62</v>
      </c>
      <c r="G15" s="76">
        <f t="shared" ref="G15:K15" si="14">G222</f>
        <v>2204949.2400000002</v>
      </c>
      <c r="H15" s="76">
        <f t="shared" si="14"/>
        <v>1378886.34</v>
      </c>
      <c r="I15" s="76">
        <f t="shared" si="14"/>
        <v>2137551.3199999998</v>
      </c>
      <c r="J15" s="76">
        <f t="shared" si="14"/>
        <v>616447.98</v>
      </c>
      <c r="K15" s="76">
        <f t="shared" si="14"/>
        <v>270013.74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6.2979092264153902</v>
      </c>
      <c r="B19" s="152">
        <f t="shared" ref="B19:B25" si="16">MAX(F19:K19)</f>
        <v>249.62323155209802</v>
      </c>
      <c r="C19" s="156">
        <f>AVERAGE(F19:K19)</f>
        <v>77.830718554914981</v>
      </c>
      <c r="D19" s="156">
        <f>MEDIAN(F19:K19)</f>
        <v>9.9621775058609785</v>
      </c>
      <c r="E19" s="47" t="s">
        <v>293</v>
      </c>
      <c r="F19" s="71">
        <f>F28/(F27/365)</f>
        <v>11.598836789907631</v>
      </c>
      <c r="G19" s="71">
        <f t="shared" ref="G19:K19" si="17">G28/(G27/365)</f>
        <v>7.9247597130539962</v>
      </c>
      <c r="H19" s="71">
        <f t="shared" si="17"/>
        <v>6.2979092264153902</v>
      </c>
      <c r="I19" s="71">
        <f t="shared" si="17"/>
        <v>8.325518221814324</v>
      </c>
      <c r="J19" s="71">
        <f t="shared" si="17"/>
        <v>249.62323155209802</v>
      </c>
      <c r="K19" s="71">
        <f t="shared" si="17"/>
        <v>183.21405582620045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1.9767073438222553</v>
      </c>
      <c r="B21" s="152">
        <f t="shared" si="16"/>
        <v>327.5841432183588</v>
      </c>
      <c r="C21" s="156">
        <f t="shared" si="18"/>
        <v>112.83486055463784</v>
      </c>
      <c r="D21" s="156">
        <f t="shared" si="19"/>
        <v>14.480457304627862</v>
      </c>
      <c r="E21" s="47" t="s">
        <v>368</v>
      </c>
      <c r="F21" s="71">
        <f>F30/(F27/365)</f>
        <v>6.7945609074739357</v>
      </c>
      <c r="G21" s="71">
        <f t="shared" ref="G21:K21" si="21">G30/(G27/365)</f>
        <v>10.954331603664032</v>
      </c>
      <c r="H21" s="71">
        <f t="shared" si="21"/>
        <v>18.00658300559169</v>
      </c>
      <c r="I21" s="71">
        <f t="shared" si="21"/>
        <v>1.9767073438222553</v>
      </c>
      <c r="J21" s="71">
        <f t="shared" si="21"/>
        <v>327.5841432183588</v>
      </c>
      <c r="K21" s="71">
        <f t="shared" si="21"/>
        <v>311.69283724891642</v>
      </c>
    </row>
    <row r="22" spans="1:11" x14ac:dyDescent="0.25">
      <c r="A22" s="152">
        <f t="shared" si="15"/>
        <v>-128.47878142271597</v>
      </c>
      <c r="B22" s="152">
        <f t="shared" si="16"/>
        <v>6.3488108779920687</v>
      </c>
      <c r="C22" s="156">
        <f t="shared" si="18"/>
        <v>-35.00414199972289</v>
      </c>
      <c r="D22" s="156">
        <f t="shared" si="19"/>
        <v>-7.3691228348931679</v>
      </c>
      <c r="E22" s="47" t="s">
        <v>294</v>
      </c>
      <c r="F22" s="71">
        <f>F19+F20-F21</f>
        <v>4.8042758824336955</v>
      </c>
      <c r="G22" s="71">
        <f t="shared" ref="G22:K22" si="22">G19+G20-G21</f>
        <v>-3.0295718906100362</v>
      </c>
      <c r="H22" s="71">
        <f t="shared" si="22"/>
        <v>-11.7086737791763</v>
      </c>
      <c r="I22" s="71">
        <f t="shared" si="22"/>
        <v>6.3488108779920687</v>
      </c>
      <c r="J22" s="71">
        <f t="shared" si="22"/>
        <v>-77.960911666260785</v>
      </c>
      <c r="K22" s="71">
        <f t="shared" si="22"/>
        <v>-128.47878142271597</v>
      </c>
    </row>
    <row r="23" spans="1:11" x14ac:dyDescent="0.25">
      <c r="A23" s="152">
        <f t="shared" si="15"/>
        <v>0.96839054876759667</v>
      </c>
      <c r="B23" s="152">
        <f t="shared" si="16"/>
        <v>2.8987167715026159</v>
      </c>
      <c r="C23" s="156">
        <f t="shared" si="18"/>
        <v>1.8927079705304257</v>
      </c>
      <c r="D23" s="156">
        <f t="shared" si="19"/>
        <v>1.8895507623956131</v>
      </c>
      <c r="E23" s="47" t="s">
        <v>295</v>
      </c>
      <c r="F23" s="71">
        <f>F27/F31</f>
        <v>2.6400468679761517</v>
      </c>
      <c r="G23" s="71">
        <f t="shared" ref="G23:K23" si="23">G27/G31</f>
        <v>1.8817217524585412</v>
      </c>
      <c r="H23" s="71">
        <f t="shared" si="23"/>
        <v>2.8987167715026159</v>
      </c>
      <c r="I23" s="71">
        <f t="shared" si="23"/>
        <v>1.8973797723326851</v>
      </c>
      <c r="J23" s="71">
        <f t="shared" si="23"/>
        <v>0.96839054876759667</v>
      </c>
      <c r="K23" s="71">
        <f t="shared" si="23"/>
        <v>1.0699921101449636</v>
      </c>
    </row>
    <row r="24" spans="1:11" x14ac:dyDescent="0.25">
      <c r="A24" s="152">
        <f t="shared" si="15"/>
        <v>4.206505501638456</v>
      </c>
      <c r="B24" s="152">
        <f t="shared" si="16"/>
        <v>189.96427517728623</v>
      </c>
      <c r="C24" s="156">
        <f t="shared" si="18"/>
        <v>89.275375395518736</v>
      </c>
      <c r="D24" s="156">
        <f t="shared" si="19"/>
        <v>72.113606934259181</v>
      </c>
      <c r="E24" s="121" t="s">
        <v>369</v>
      </c>
      <c r="F24" s="71">
        <f>F27/F32</f>
        <v>4.206505501638456</v>
      </c>
      <c r="G24" s="71">
        <f t="shared" ref="G24:K24" si="24">G27/G32</f>
        <v>78.50524786716899</v>
      </c>
      <c r="H24" s="71">
        <f t="shared" si="24"/>
        <v>65.721966001349372</v>
      </c>
      <c r="I24" s="71">
        <f t="shared" si="24"/>
        <v>45.698527963467392</v>
      </c>
      <c r="J24" s="71">
        <f t="shared" si="24"/>
        <v>189.96427517728623</v>
      </c>
      <c r="K24" s="71">
        <f t="shared" si="24"/>
        <v>151.55572986220196</v>
      </c>
    </row>
    <row r="25" spans="1:11" ht="13.8" thickBot="1" x14ac:dyDescent="0.3">
      <c r="A25" s="152">
        <f t="shared" si="15"/>
        <v>0.97335245710113361</v>
      </c>
      <c r="B25" s="152">
        <f t="shared" si="16"/>
        <v>7.0894765020134853</v>
      </c>
      <c r="C25" s="156">
        <f t="shared" si="18"/>
        <v>2.6800664328150798</v>
      </c>
      <c r="D25" s="156">
        <f t="shared" si="19"/>
        <v>1.9537518224071553</v>
      </c>
      <c r="E25" s="49" t="s">
        <v>296</v>
      </c>
      <c r="F25" s="73">
        <f>F27/F33</f>
        <v>7.0894765020134853</v>
      </c>
      <c r="G25" s="73">
        <f t="shared" ref="G25:K25" si="25">G27/G33</f>
        <v>1.9279331046791988</v>
      </c>
      <c r="H25" s="73">
        <f t="shared" si="25"/>
        <v>3.0324659650638837</v>
      </c>
      <c r="I25" s="73">
        <f t="shared" si="25"/>
        <v>1.9795705401351116</v>
      </c>
      <c r="J25" s="73">
        <f t="shared" si="25"/>
        <v>0.97335245710113361</v>
      </c>
      <c r="K25" s="73">
        <f t="shared" si="25"/>
        <v>1.0776000278976665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4204564.62</v>
      </c>
      <c r="G27" s="76">
        <f t="shared" ref="G27:K27" si="26">G228</f>
        <v>4989876.7699999996</v>
      </c>
      <c r="H27" s="76">
        <f t="shared" si="26"/>
        <v>5504742.4000000004</v>
      </c>
      <c r="I27" s="76">
        <f t="shared" si="26"/>
        <v>4494022.03</v>
      </c>
      <c r="J27" s="76">
        <f t="shared" si="26"/>
        <v>5743303.9100000001</v>
      </c>
      <c r="K27" s="76">
        <f t="shared" si="26"/>
        <v>5046834.5999999996</v>
      </c>
    </row>
    <row r="28" spans="1:11" x14ac:dyDescent="0.25">
      <c r="E28" s="43" t="s">
        <v>305</v>
      </c>
      <c r="F28" s="76">
        <f>F133</f>
        <v>133611.12</v>
      </c>
      <c r="G28" s="76">
        <f t="shared" ref="G28:K28" si="27">G133</f>
        <v>108338.56</v>
      </c>
      <c r="H28" s="76">
        <f t="shared" si="27"/>
        <v>94981.83</v>
      </c>
      <c r="I28" s="76">
        <f t="shared" si="27"/>
        <v>102507.02</v>
      </c>
      <c r="J28" s="76">
        <f t="shared" si="27"/>
        <v>3927841.32</v>
      </c>
      <c r="K28" s="76">
        <f t="shared" si="27"/>
        <v>2533290.5099999998</v>
      </c>
    </row>
    <row r="29" spans="1:11" x14ac:dyDescent="0.25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F202</f>
        <v>78268.960000000006</v>
      </c>
      <c r="G30" s="76">
        <f t="shared" ref="G30:K30" si="29">G202</f>
        <v>149755.51999999999</v>
      </c>
      <c r="H30" s="76">
        <f t="shared" si="29"/>
        <v>271566.03000000003</v>
      </c>
      <c r="I30" s="76">
        <f t="shared" si="29"/>
        <v>24337.99</v>
      </c>
      <c r="J30" s="76">
        <f t="shared" si="29"/>
        <v>5154562.4400000004</v>
      </c>
      <c r="K30" s="76">
        <f t="shared" si="29"/>
        <v>4309759.4400000004</v>
      </c>
    </row>
    <row r="31" spans="1:11" x14ac:dyDescent="0.25">
      <c r="E31" s="43" t="s">
        <v>303</v>
      </c>
      <c r="F31" s="76">
        <f>F171</f>
        <v>1592609.84</v>
      </c>
      <c r="G31" s="76">
        <f t="shared" ref="G31:K31" si="30">G171</f>
        <v>2651761.2200000002</v>
      </c>
      <c r="H31" s="76">
        <f t="shared" si="30"/>
        <v>1899027.34</v>
      </c>
      <c r="I31" s="76">
        <f t="shared" si="30"/>
        <v>2368541.13</v>
      </c>
      <c r="J31" s="76">
        <f t="shared" si="30"/>
        <v>5930772.3700000001</v>
      </c>
      <c r="K31" s="76">
        <f t="shared" si="30"/>
        <v>4716702.63</v>
      </c>
    </row>
    <row r="32" spans="1:11" x14ac:dyDescent="0.25">
      <c r="E32" s="43" t="s">
        <v>308</v>
      </c>
      <c r="F32" s="76">
        <f>F84</f>
        <v>999538.6</v>
      </c>
      <c r="G32" s="76">
        <f t="shared" ref="G32:K32" si="31">G84</f>
        <v>63561.06</v>
      </c>
      <c r="H32" s="76">
        <f t="shared" si="31"/>
        <v>83758.03</v>
      </c>
      <c r="I32" s="76">
        <f t="shared" si="31"/>
        <v>98340.63</v>
      </c>
      <c r="J32" s="76">
        <f t="shared" si="31"/>
        <v>30233.599999999999</v>
      </c>
      <c r="K32" s="76">
        <f t="shared" si="31"/>
        <v>33300.19</v>
      </c>
    </row>
    <row r="33" spans="1:11" x14ac:dyDescent="0.25">
      <c r="E33" s="43" t="s">
        <v>309</v>
      </c>
      <c r="F33" s="76">
        <f>F126</f>
        <v>593071.24</v>
      </c>
      <c r="G33" s="76">
        <f t="shared" ref="G33:K33" si="32">G126</f>
        <v>2588200.16</v>
      </c>
      <c r="H33" s="76">
        <f t="shared" si="32"/>
        <v>1815269.31</v>
      </c>
      <c r="I33" s="76">
        <f t="shared" si="32"/>
        <v>2270200.5</v>
      </c>
      <c r="J33" s="76">
        <f t="shared" si="32"/>
        <v>5900538.7699999996</v>
      </c>
      <c r="K33" s="76">
        <f t="shared" si="32"/>
        <v>4683402.4400000004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1.0275519260246075E-2</v>
      </c>
      <c r="B37" s="139">
        <f t="shared" ref="B37:B41" si="34">MAX(F37:K37)</f>
        <v>0.91372294971243517</v>
      </c>
      <c r="C37" s="160">
        <f t="shared" ref="C37:C41" si="35">AVERAGE(F37:K37)</f>
        <v>0.34029030906615948</v>
      </c>
      <c r="D37" s="160">
        <f t="shared" ref="D37:D41" si="36">MEDIAN(F37:K37)</f>
        <v>9.9738340024686664E-2</v>
      </c>
      <c r="E37" s="126" t="s">
        <v>370</v>
      </c>
      <c r="F37" s="131">
        <f>F43/F44*100%</f>
        <v>4.9145093816574691E-2</v>
      </c>
      <c r="G37" s="124">
        <f t="shared" ref="G37:K37" si="37">G43/G44*100%</f>
        <v>5.6473983732215516E-2</v>
      </c>
      <c r="H37" s="124">
        <f t="shared" si="37"/>
        <v>0.14300269631715781</v>
      </c>
      <c r="I37" s="124">
        <f t="shared" si="37"/>
        <v>1.0275519260246075E-2</v>
      </c>
      <c r="J37" s="124">
        <f t="shared" si="37"/>
        <v>0.86912161155832734</v>
      </c>
      <c r="K37" s="132">
        <f t="shared" si="37"/>
        <v>0.91372294971243517</v>
      </c>
    </row>
    <row r="38" spans="1:11" x14ac:dyDescent="0.25">
      <c r="A38" s="139">
        <f t="shared" si="33"/>
        <v>8.9699115578118424E-2</v>
      </c>
      <c r="B38" s="139">
        <f t="shared" si="34"/>
        <v>32.264018059368958</v>
      </c>
      <c r="C38" s="155">
        <f t="shared" si="35"/>
        <v>10.925422360386186</v>
      </c>
      <c r="D38" s="156">
        <f t="shared" si="36"/>
        <v>0.80336891888825246</v>
      </c>
      <c r="E38" s="127" t="s">
        <v>298</v>
      </c>
      <c r="F38" s="133">
        <f>F43/F45</f>
        <v>8.9699115578118424E-2</v>
      </c>
      <c r="G38" s="122">
        <f t="shared" ref="G38:K38" si="38">G43/G45</f>
        <v>0.50413150415917563</v>
      </c>
      <c r="H38" s="122">
        <f t="shared" si="38"/>
        <v>1.1026063336173293</v>
      </c>
      <c r="I38" s="122">
        <f t="shared" si="38"/>
        <v>0.11777292839714647</v>
      </c>
      <c r="J38" s="122">
        <f t="shared" si="38"/>
        <v>32.264018059368958</v>
      </c>
      <c r="K38" s="134">
        <f t="shared" si="38"/>
        <v>31.47430622119639</v>
      </c>
    </row>
    <row r="39" spans="1:11" x14ac:dyDescent="0.25">
      <c r="A39" s="139">
        <f t="shared" si="33"/>
        <v>1.8251896295671834</v>
      </c>
      <c r="B39" s="139">
        <f t="shared" si="34"/>
        <v>37.122558719394696</v>
      </c>
      <c r="C39" s="155">
        <f t="shared" si="35"/>
        <v>16.9154433163833</v>
      </c>
      <c r="D39" s="156">
        <f t="shared" si="36"/>
        <v>10.194149115488788</v>
      </c>
      <c r="E39" s="127" t="s">
        <v>299</v>
      </c>
      <c r="F39" s="133">
        <f>F44/F45</f>
        <v>1.8251896295671834</v>
      </c>
      <c r="G39" s="122">
        <f t="shared" ref="G39:K39" si="39">G44/G45</f>
        <v>8.9267919640596265</v>
      </c>
      <c r="H39" s="122">
        <f t="shared" si="39"/>
        <v>7.7103884193338512</v>
      </c>
      <c r="I39" s="122">
        <f t="shared" si="39"/>
        <v>11.461506266917949</v>
      </c>
      <c r="J39" s="122">
        <f t="shared" si="39"/>
        <v>37.122558719394696</v>
      </c>
      <c r="K39" s="134">
        <f t="shared" si="39"/>
        <v>34.446224899026468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26.40573443762872</v>
      </c>
      <c r="B41" s="139">
        <f t="shared" si="34"/>
        <v>1414.0477712662048</v>
      </c>
      <c r="C41" s="155">
        <f t="shared" si="35"/>
        <v>720.22675285191679</v>
      </c>
      <c r="D41" s="156">
        <f t="shared" si="36"/>
        <v>720.22675285191667</v>
      </c>
      <c r="E41" s="129" t="s">
        <v>300</v>
      </c>
      <c r="F41" s="172"/>
      <c r="G41" s="171"/>
      <c r="H41" s="171"/>
      <c r="I41" s="123">
        <f t="shared" ref="I41:K41" si="41">(I47+I48)/I48</f>
        <v>26.40573443762872</v>
      </c>
      <c r="J41" s="171"/>
      <c r="K41" s="136">
        <f t="shared" si="41"/>
        <v>1414.0477712662048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78268.960000000006</v>
      </c>
      <c r="G43" s="76">
        <f t="shared" ref="G43:K43" si="42">G193+G202</f>
        <v>149755.51999999999</v>
      </c>
      <c r="H43" s="76">
        <f t="shared" si="42"/>
        <v>271566.03000000003</v>
      </c>
      <c r="I43" s="76">
        <f t="shared" si="42"/>
        <v>24337.99</v>
      </c>
      <c r="J43" s="76">
        <f t="shared" si="42"/>
        <v>5154562.4400000004</v>
      </c>
      <c r="K43" s="76">
        <f t="shared" si="42"/>
        <v>4309759.4400000004</v>
      </c>
    </row>
    <row r="44" spans="1:11" x14ac:dyDescent="0.25">
      <c r="E44" s="43" t="s">
        <v>303</v>
      </c>
      <c r="F44" s="76">
        <f>F171</f>
        <v>1592609.84</v>
      </c>
      <c r="G44" s="76">
        <f t="shared" ref="G44:K45" si="43">G171</f>
        <v>2651761.2200000002</v>
      </c>
      <c r="H44" s="76">
        <f t="shared" si="43"/>
        <v>1899027.34</v>
      </c>
      <c r="I44" s="76">
        <f t="shared" si="43"/>
        <v>2368541.13</v>
      </c>
      <c r="J44" s="76">
        <f t="shared" si="43"/>
        <v>5930772.3700000001</v>
      </c>
      <c r="K44" s="76">
        <f t="shared" si="43"/>
        <v>4716702.63</v>
      </c>
    </row>
    <row r="45" spans="1:11" x14ac:dyDescent="0.25">
      <c r="E45" s="43" t="s">
        <v>311</v>
      </c>
      <c r="F45" s="76">
        <f>F172</f>
        <v>872572.26</v>
      </c>
      <c r="G45" s="76">
        <f t="shared" si="43"/>
        <v>297056.46000000002</v>
      </c>
      <c r="H45" s="76">
        <f t="shared" si="43"/>
        <v>246294.64</v>
      </c>
      <c r="I45" s="76">
        <f t="shared" si="43"/>
        <v>206651.82</v>
      </c>
      <c r="J45" s="76">
        <f t="shared" si="43"/>
        <v>159761.95000000001</v>
      </c>
      <c r="K45" s="76">
        <f t="shared" si="43"/>
        <v>136929.45000000001</v>
      </c>
    </row>
    <row r="46" spans="1:11" x14ac:dyDescent="0.25">
      <c r="E46" s="43" t="s">
        <v>312</v>
      </c>
      <c r="F46" s="76">
        <f>F193</f>
        <v>0</v>
      </c>
      <c r="G46" s="76">
        <f t="shared" ref="G46:K46" si="44">G193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x14ac:dyDescent="0.25">
      <c r="E47" s="43" t="s">
        <v>313</v>
      </c>
      <c r="F47" s="76">
        <f>F275</f>
        <v>575515.80000000005</v>
      </c>
      <c r="G47" s="76">
        <f t="shared" ref="G47:K47" si="45">G275</f>
        <v>50761.82</v>
      </c>
      <c r="H47" s="76">
        <f t="shared" si="45"/>
        <v>39642.82</v>
      </c>
      <c r="I47" s="76">
        <f t="shared" si="45"/>
        <v>45889.87</v>
      </c>
      <c r="J47" s="76">
        <f t="shared" si="45"/>
        <v>22832.5</v>
      </c>
      <c r="K47" s="76">
        <f t="shared" si="45"/>
        <v>79568.72</v>
      </c>
    </row>
    <row r="48" spans="1:11" x14ac:dyDescent="0.25">
      <c r="E48" s="43" t="s">
        <v>314</v>
      </c>
      <c r="F48" s="76">
        <f>F269</f>
        <v>0</v>
      </c>
      <c r="G48" s="76">
        <f t="shared" ref="G48:K48" si="46">G269</f>
        <v>0</v>
      </c>
      <c r="H48" s="76">
        <f t="shared" si="46"/>
        <v>0</v>
      </c>
      <c r="I48" s="76">
        <f t="shared" si="46"/>
        <v>1806.28</v>
      </c>
      <c r="J48" s="76">
        <f t="shared" si="46"/>
        <v>0</v>
      </c>
      <c r="K48" s="76">
        <f t="shared" si="46"/>
        <v>56.31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7">MIN(F52:K52)</f>
        <v>0</v>
      </c>
      <c r="B52" s="139">
        <f t="shared" ref="B52:B63" si="48">MAX(F52:K52)</f>
        <v>1.5634592690316917E-2</v>
      </c>
      <c r="C52" s="160">
        <f t="shared" ref="C52:C63" si="49">AVERAGE(F52:K52)</f>
        <v>3.2666653558785751E-3</v>
      </c>
      <c r="D52" s="160">
        <f t="shared" ref="D52:D63" si="50">MEDIAN(F52:K52)</f>
        <v>0</v>
      </c>
      <c r="E52" s="127" t="s">
        <v>350</v>
      </c>
      <c r="F52" s="131">
        <f t="shared" ref="F52:K52" si="51">(F65/(F70+F71))*100%</f>
        <v>0</v>
      </c>
      <c r="G52" s="124">
        <f t="shared" si="51"/>
        <v>0</v>
      </c>
      <c r="H52" s="124">
        <f t="shared" si="51"/>
        <v>0</v>
      </c>
      <c r="I52" s="124">
        <f t="shared" si="51"/>
        <v>0</v>
      </c>
      <c r="J52" s="124">
        <f t="shared" si="51"/>
        <v>3.9653994449545338E-3</v>
      </c>
      <c r="K52" s="132">
        <f t="shared" si="51"/>
        <v>1.5634592690316917E-2</v>
      </c>
    </row>
    <row r="53" spans="1:11" x14ac:dyDescent="0.25">
      <c r="A53" s="139">
        <f t="shared" si="47"/>
        <v>-4.5243029215858113E-2</v>
      </c>
      <c r="B53" s="139">
        <f t="shared" si="48"/>
        <v>0.14118022284076584</v>
      </c>
      <c r="C53" s="160">
        <f t="shared" si="49"/>
        <v>1.7667461585834203E-2</v>
      </c>
      <c r="D53" s="160">
        <f t="shared" si="50"/>
        <v>1.414585915465416E-3</v>
      </c>
      <c r="E53" s="127" t="s">
        <v>351</v>
      </c>
      <c r="F53" s="131">
        <f>(F66/F70)*100%</f>
        <v>0.14118022284076584</v>
      </c>
      <c r="G53" s="124">
        <f t="shared" ref="G53:K53" si="52">(G66/G70)*100%</f>
        <v>5.8355549329527836E-4</v>
      </c>
      <c r="H53" s="124">
        <f t="shared" si="52"/>
        <v>1.3998638701058926E-3</v>
      </c>
      <c r="I53" s="124">
        <f t="shared" si="52"/>
        <v>-4.5243029215858113E-2</v>
      </c>
      <c r="J53" s="124">
        <f t="shared" si="52"/>
        <v>1.4293079608249392E-3</v>
      </c>
      <c r="K53" s="132">
        <f t="shared" si="52"/>
        <v>6.6548485658713685E-3</v>
      </c>
    </row>
    <row r="54" spans="1:11" x14ac:dyDescent="0.25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7"/>
        <v>3.9653994449545338E-3</v>
      </c>
      <c r="B58" s="139">
        <f t="shared" si="48"/>
        <v>0.13636428806386067</v>
      </c>
      <c r="C58" s="155">
        <f t="shared" si="49"/>
        <v>3.0470991261953868E-2</v>
      </c>
      <c r="D58" s="156">
        <f t="shared" si="50"/>
        <v>9.8603266571969366E-3</v>
      </c>
      <c r="E58" s="127" t="s">
        <v>356</v>
      </c>
      <c r="F58" s="133">
        <f>F68/(F70+F71+F72+F73+F74+F75)</f>
        <v>0.13636428806386067</v>
      </c>
      <c r="G58" s="122">
        <f t="shared" ref="G58:K58" si="53">G68/(G70+G71+G72+G73+G74)</f>
        <v>1.0090068141277254E-2</v>
      </c>
      <c r="H58" s="122">
        <f t="shared" si="53"/>
        <v>7.1520706808998304E-3</v>
      </c>
      <c r="I58" s="122">
        <f t="shared" si="53"/>
        <v>9.6305851731166188E-3</v>
      </c>
      <c r="J58" s="122">
        <f t="shared" si="53"/>
        <v>3.9653994449545338E-3</v>
      </c>
      <c r="K58" s="134">
        <f t="shared" si="53"/>
        <v>1.5623536067614335E-2</v>
      </c>
    </row>
    <row r="59" spans="1:11" x14ac:dyDescent="0.25">
      <c r="A59" s="139">
        <f t="shared" si="47"/>
        <v>3.9653994449545338E-3</v>
      </c>
      <c r="B59" s="139">
        <f t="shared" si="48"/>
        <v>0.13636428806386067</v>
      </c>
      <c r="C59" s="155">
        <f t="shared" si="49"/>
        <v>3.0466347999295738E-2</v>
      </c>
      <c r="D59" s="156">
        <f t="shared" si="50"/>
        <v>9.8464059014735442E-3</v>
      </c>
      <c r="E59" s="127" t="s">
        <v>361</v>
      </c>
      <c r="F59" s="133">
        <f>F69/(F70+F71+F72+F73+F74+F75)</f>
        <v>0.13636428806386067</v>
      </c>
      <c r="G59" s="122">
        <f t="shared" ref="G59:K59" si="54">G69/(G70+G71+G72+G73+G74+G75)</f>
        <v>1.0062832922669098E-2</v>
      </c>
      <c r="H59" s="122">
        <f t="shared" si="54"/>
        <v>7.1520526163978207E-3</v>
      </c>
      <c r="I59" s="122">
        <f t="shared" si="54"/>
        <v>9.6299788802779902E-3</v>
      </c>
      <c r="J59" s="122">
        <f t="shared" si="54"/>
        <v>3.9653994449545338E-3</v>
      </c>
      <c r="K59" s="134">
        <f t="shared" si="54"/>
        <v>1.5623536067614335E-2</v>
      </c>
    </row>
    <row r="60" spans="1:11" ht="26.4" x14ac:dyDescent="0.25">
      <c r="A60" s="139">
        <f t="shared" si="47"/>
        <v>0</v>
      </c>
      <c r="B60" s="139">
        <f t="shared" si="48"/>
        <v>1.6881503085133014E-2</v>
      </c>
      <c r="C60" s="160">
        <f t="shared" si="49"/>
        <v>3.4552231533764698E-3</v>
      </c>
      <c r="D60" s="160">
        <f t="shared" si="50"/>
        <v>0</v>
      </c>
      <c r="E60" s="127" t="s">
        <v>372</v>
      </c>
      <c r="F60" s="131">
        <f>F65/F79*100%</f>
        <v>0</v>
      </c>
      <c r="G60" s="124">
        <f t="shared" ref="G60:K60" si="55">G65/G79*100%</f>
        <v>0</v>
      </c>
      <c r="H60" s="124">
        <f t="shared" si="55"/>
        <v>0</v>
      </c>
      <c r="I60" s="124">
        <f t="shared" si="55"/>
        <v>0</v>
      </c>
      <c r="J60" s="124">
        <f t="shared" si="55"/>
        <v>3.8498358351258051E-3</v>
      </c>
      <c r="K60" s="132">
        <f t="shared" si="55"/>
        <v>1.6881503085133014E-2</v>
      </c>
    </row>
    <row r="61" spans="1:11" x14ac:dyDescent="0.25">
      <c r="A61" s="139">
        <f t="shared" si="47"/>
        <v>3.8498358351258051E-3</v>
      </c>
      <c r="B61" s="139">
        <f t="shared" si="48"/>
        <v>0.36136647253165283</v>
      </c>
      <c r="C61" s="155">
        <f t="shared" si="49"/>
        <v>7.3579770615958537E-2</v>
      </c>
      <c r="D61" s="156">
        <f t="shared" si="50"/>
        <v>1.9258710966659827E-2</v>
      </c>
      <c r="E61" s="127" t="s">
        <v>373</v>
      </c>
      <c r="F61" s="133">
        <f>F69/F79</f>
        <v>0.36136647253165283</v>
      </c>
      <c r="G61" s="122">
        <f t="shared" ref="G61:K61" si="56">G69/G79</f>
        <v>1.9142681330862811E-2</v>
      </c>
      <c r="H61" s="122">
        <f t="shared" si="56"/>
        <v>2.0875328735393561E-2</v>
      </c>
      <c r="I61" s="122">
        <f t="shared" si="56"/>
        <v>1.9374740602456839E-2</v>
      </c>
      <c r="J61" s="122">
        <f t="shared" si="56"/>
        <v>3.8498358351258051E-3</v>
      </c>
      <c r="K61" s="134">
        <f t="shared" si="56"/>
        <v>1.6869564660259281E-2</v>
      </c>
    </row>
    <row r="62" spans="1:11" x14ac:dyDescent="0.25">
      <c r="A62" s="139">
        <f t="shared" si="47"/>
        <v>-0.98389247188822249</v>
      </c>
      <c r="B62" s="139">
        <f t="shared" si="48"/>
        <v>0.65956233813804721</v>
      </c>
      <c r="C62" s="155">
        <f t="shared" si="49"/>
        <v>2.236826133349449E-3</v>
      </c>
      <c r="D62" s="156">
        <f t="shared" si="50"/>
        <v>4.1334833718005851E-2</v>
      </c>
      <c r="E62" s="127" t="s">
        <v>374</v>
      </c>
      <c r="F62" s="133">
        <f>F69/F80</f>
        <v>0.65956233813804721</v>
      </c>
      <c r="G62" s="122">
        <f>G66/G80</f>
        <v>9.8024126457307136E-3</v>
      </c>
      <c r="H62" s="122">
        <f>H66/H80</f>
        <v>3.1287282581545423E-2</v>
      </c>
      <c r="I62" s="122">
        <f>I66/I80</f>
        <v>-0.98389247188822249</v>
      </c>
      <c r="J62" s="122">
        <f>J66/J80</f>
        <v>5.1382384854466286E-2</v>
      </c>
      <c r="K62" s="134">
        <f>K66/K80</f>
        <v>0.24527901046852957</v>
      </c>
    </row>
    <row r="63" spans="1:11" ht="13.8" thickBot="1" x14ac:dyDescent="0.3">
      <c r="A63" s="139">
        <f t="shared" si="47"/>
        <v>0</v>
      </c>
      <c r="B63" s="139">
        <f t="shared" si="48"/>
        <v>0.58150405190410093</v>
      </c>
      <c r="C63" s="155">
        <f t="shared" si="49"/>
        <v>0.12073663479226476</v>
      </c>
      <c r="D63" s="156">
        <f t="shared" si="50"/>
        <v>0</v>
      </c>
      <c r="E63" s="129" t="s">
        <v>302</v>
      </c>
      <c r="F63" s="135">
        <f t="shared" ref="F63:K63" si="57">F65/(F80+F81)</f>
        <v>0</v>
      </c>
      <c r="G63" s="123">
        <f t="shared" si="57"/>
        <v>0</v>
      </c>
      <c r="H63" s="123">
        <f t="shared" si="57"/>
        <v>0</v>
      </c>
      <c r="I63" s="123">
        <f t="shared" si="57"/>
        <v>0</v>
      </c>
      <c r="J63" s="123">
        <f t="shared" si="57"/>
        <v>0.14291575684948762</v>
      </c>
      <c r="K63" s="136">
        <f t="shared" si="57"/>
        <v>0.58150405190410093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0</v>
      </c>
      <c r="G65" s="76">
        <f t="shared" ref="G65:K65" si="58">G255</f>
        <v>0</v>
      </c>
      <c r="H65" s="76">
        <f t="shared" si="58"/>
        <v>0</v>
      </c>
      <c r="I65" s="76">
        <f t="shared" si="58"/>
        <v>0</v>
      </c>
      <c r="J65" s="76">
        <f t="shared" si="58"/>
        <v>22832.5</v>
      </c>
      <c r="K65" s="76">
        <f t="shared" si="58"/>
        <v>79625.03</v>
      </c>
    </row>
    <row r="66" spans="5:12" ht="26.4" x14ac:dyDescent="0.25">
      <c r="E66" s="52" t="s">
        <v>352</v>
      </c>
      <c r="F66" s="76">
        <f>F245</f>
        <v>593601.37</v>
      </c>
      <c r="G66" s="76">
        <f t="shared" ref="G66:K66" si="59">G245</f>
        <v>2911.87</v>
      </c>
      <c r="H66" s="76">
        <f t="shared" si="59"/>
        <v>7705.89</v>
      </c>
      <c r="I66" s="76">
        <f t="shared" si="59"/>
        <v>-203323.17</v>
      </c>
      <c r="J66" s="76">
        <f t="shared" si="59"/>
        <v>8208.9500000000007</v>
      </c>
      <c r="K66" s="76">
        <f t="shared" si="59"/>
        <v>33585.919999999998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575515.80000000005</v>
      </c>
      <c r="G68" s="76">
        <f t="shared" ref="G68:K68" si="60">G275</f>
        <v>50761.82</v>
      </c>
      <c r="H68" s="76">
        <f t="shared" si="60"/>
        <v>39642.82</v>
      </c>
      <c r="I68" s="76">
        <f t="shared" si="60"/>
        <v>45889.87</v>
      </c>
      <c r="J68" s="76">
        <f t="shared" si="60"/>
        <v>22832.5</v>
      </c>
      <c r="K68" s="76">
        <f t="shared" si="60"/>
        <v>79568.72</v>
      </c>
    </row>
    <row r="69" spans="5:12" x14ac:dyDescent="0.25">
      <c r="E69" s="43" t="s">
        <v>315</v>
      </c>
      <c r="F69" s="76">
        <f>F278</f>
        <v>575515.80000000005</v>
      </c>
      <c r="G69" s="76">
        <f t="shared" ref="G69:K69" si="61">G278</f>
        <v>50761.82</v>
      </c>
      <c r="H69" s="76">
        <f t="shared" si="61"/>
        <v>39642.82</v>
      </c>
      <c r="I69" s="76">
        <f t="shared" si="61"/>
        <v>45889.87</v>
      </c>
      <c r="J69" s="76">
        <f t="shared" si="61"/>
        <v>22832.5</v>
      </c>
      <c r="K69" s="76">
        <f t="shared" si="61"/>
        <v>79568.72</v>
      </c>
    </row>
    <row r="70" spans="5:12" x14ac:dyDescent="0.25">
      <c r="E70" s="43" t="s">
        <v>358</v>
      </c>
      <c r="F70" s="76">
        <f>F228</f>
        <v>4204564.62</v>
      </c>
      <c r="G70" s="76">
        <f t="shared" ref="G70:K70" si="62">G228</f>
        <v>4989876.7699999996</v>
      </c>
      <c r="H70" s="76">
        <f t="shared" si="62"/>
        <v>5504742.4000000004</v>
      </c>
      <c r="I70" s="76">
        <f t="shared" si="62"/>
        <v>4494022.03</v>
      </c>
      <c r="J70" s="76">
        <f t="shared" si="62"/>
        <v>5743303.9100000001</v>
      </c>
      <c r="K70" s="76">
        <f t="shared" si="62"/>
        <v>5046834.5999999996</v>
      </c>
    </row>
    <row r="71" spans="5:12" x14ac:dyDescent="0.25">
      <c r="E71" s="43" t="s">
        <v>359</v>
      </c>
      <c r="F71" s="76">
        <f>F246</f>
        <v>2.83</v>
      </c>
      <c r="G71" s="76">
        <f t="shared" ref="G71:K71" si="63">G246</f>
        <v>40993.120000000003</v>
      </c>
      <c r="H71" s="76">
        <f t="shared" si="63"/>
        <v>38102.71</v>
      </c>
      <c r="I71" s="76">
        <f t="shared" si="63"/>
        <v>270991.64</v>
      </c>
      <c r="J71" s="76">
        <f t="shared" si="63"/>
        <v>14628</v>
      </c>
      <c r="K71" s="76">
        <f t="shared" si="63"/>
        <v>46040.639999999999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15861.58</v>
      </c>
      <c r="G75" s="76">
        <f t="shared" ref="G75:K75" si="64">G256</f>
        <v>13616.13</v>
      </c>
      <c r="H75" s="76">
        <f t="shared" si="64"/>
        <v>14</v>
      </c>
      <c r="I75" s="76">
        <f t="shared" si="64"/>
        <v>300</v>
      </c>
      <c r="J75" s="76">
        <f t="shared" si="64"/>
        <v>0</v>
      </c>
      <c r="K75" s="76">
        <f t="shared" si="64"/>
        <v>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1592609.84</v>
      </c>
      <c r="G79" s="76">
        <f t="shared" ref="G79:K80" si="65">G171</f>
        <v>2651761.2200000002</v>
      </c>
      <c r="H79" s="76">
        <f t="shared" si="65"/>
        <v>1899027.34</v>
      </c>
      <c r="I79" s="76">
        <f t="shared" si="65"/>
        <v>2368541.13</v>
      </c>
      <c r="J79" s="76">
        <f t="shared" si="65"/>
        <v>5930772.3700000001</v>
      </c>
      <c r="K79" s="76">
        <f t="shared" si="65"/>
        <v>4716702.63</v>
      </c>
    </row>
    <row r="80" spans="5:12" x14ac:dyDescent="0.25">
      <c r="E80" s="43" t="s">
        <v>311</v>
      </c>
      <c r="F80" s="76">
        <f>F172</f>
        <v>872572.26</v>
      </c>
      <c r="G80" s="76">
        <f t="shared" si="65"/>
        <v>297056.46000000002</v>
      </c>
      <c r="H80" s="76">
        <f t="shared" si="65"/>
        <v>246294.64</v>
      </c>
      <c r="I80" s="76">
        <f t="shared" si="65"/>
        <v>206651.82</v>
      </c>
      <c r="J80" s="76">
        <f t="shared" si="65"/>
        <v>159761.95000000001</v>
      </c>
      <c r="K80" s="76">
        <f t="shared" si="65"/>
        <v>136929.45000000001</v>
      </c>
    </row>
    <row r="81" spans="5:12" x14ac:dyDescent="0.25">
      <c r="E81" s="43" t="s">
        <v>317</v>
      </c>
      <c r="F81" s="76">
        <f>F197+F210</f>
        <v>0</v>
      </c>
      <c r="G81" s="76">
        <f t="shared" ref="G81:K81" si="66">G197+G210</f>
        <v>0</v>
      </c>
      <c r="H81" s="76">
        <f t="shared" si="66"/>
        <v>0</v>
      </c>
      <c r="I81" s="76">
        <f t="shared" si="66"/>
        <v>0</v>
      </c>
      <c r="J81" s="76">
        <f t="shared" si="66"/>
        <v>0</v>
      </c>
      <c r="K81" s="76">
        <f t="shared" si="66"/>
        <v>0</v>
      </c>
    </row>
    <row r="82" spans="5:12" x14ac:dyDescent="0.25">
      <c r="F82" s="43"/>
      <c r="G82" s="43"/>
      <c r="H82" s="43"/>
      <c r="I82" s="43"/>
      <c r="J82" s="43"/>
      <c r="K82" s="43"/>
    </row>
    <row r="83" spans="5:12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5">
      <c r="E84" s="94" t="s">
        <v>102</v>
      </c>
      <c r="F84" s="97">
        <v>999538.6</v>
      </c>
      <c r="G84" s="97">
        <v>63561.06</v>
      </c>
      <c r="H84" s="97">
        <v>83758.03</v>
      </c>
      <c r="I84" s="97">
        <v>98340.63</v>
      </c>
      <c r="J84" s="97">
        <v>30233.599999999999</v>
      </c>
      <c r="K84" s="97">
        <v>33300.19</v>
      </c>
      <c r="L84" s="97"/>
    </row>
    <row r="85" spans="5:12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  <c r="L85" s="97"/>
    </row>
    <row r="86" spans="5:12" x14ac:dyDescent="0.25">
      <c r="E86" s="94" t="s">
        <v>104</v>
      </c>
      <c r="F86" s="97"/>
      <c r="G86" s="97"/>
      <c r="H86" s="97"/>
      <c r="I86" s="97"/>
      <c r="J86" s="97">
        <v>0</v>
      </c>
      <c r="K86" s="97">
        <v>0</v>
      </c>
      <c r="L86" s="97"/>
    </row>
    <row r="87" spans="5:12" x14ac:dyDescent="0.25">
      <c r="E87" s="94" t="s">
        <v>105</v>
      </c>
      <c r="F87" s="97"/>
      <c r="G87" s="97"/>
      <c r="H87" s="97"/>
      <c r="I87" s="97"/>
      <c r="J87" s="97">
        <v>0</v>
      </c>
      <c r="K87" s="97">
        <v>0</v>
      </c>
      <c r="L87" s="97"/>
    </row>
    <row r="88" spans="5:12" x14ac:dyDescent="0.25">
      <c r="E88" s="94" t="s">
        <v>106</v>
      </c>
      <c r="F88" s="97"/>
      <c r="G88" s="97"/>
      <c r="H88" s="97"/>
      <c r="I88" s="97"/>
      <c r="J88" s="97">
        <v>0</v>
      </c>
      <c r="K88" s="97">
        <v>0</v>
      </c>
      <c r="L88" s="97"/>
    </row>
    <row r="89" spans="5:12" x14ac:dyDescent="0.25">
      <c r="E89" s="94" t="s">
        <v>107</v>
      </c>
      <c r="F89" s="97"/>
      <c r="G89" s="97"/>
      <c r="H89" s="97"/>
      <c r="I89" s="97"/>
      <c r="J89" s="97">
        <v>0</v>
      </c>
      <c r="K89" s="97">
        <v>0</v>
      </c>
      <c r="L89" s="97"/>
    </row>
    <row r="90" spans="5:12" x14ac:dyDescent="0.25">
      <c r="E90" s="94" t="s">
        <v>108</v>
      </c>
      <c r="F90" s="97">
        <v>999538.6</v>
      </c>
      <c r="G90" s="97">
        <v>63561.06</v>
      </c>
      <c r="H90" s="97">
        <v>83758.03</v>
      </c>
      <c r="I90" s="97">
        <v>98340.63</v>
      </c>
      <c r="J90" s="97">
        <v>30233.599999999999</v>
      </c>
      <c r="K90" s="97">
        <v>33300.19</v>
      </c>
      <c r="L90" s="97"/>
    </row>
    <row r="91" spans="5:12" x14ac:dyDescent="0.25">
      <c r="E91" s="94" t="s">
        <v>109</v>
      </c>
      <c r="F91" s="97">
        <v>969538.6</v>
      </c>
      <c r="G91" s="97">
        <v>63561.06</v>
      </c>
      <c r="H91" s="97">
        <v>83758.03</v>
      </c>
      <c r="I91" s="97">
        <v>98340.63</v>
      </c>
      <c r="J91" s="97">
        <v>30233.599999999999</v>
      </c>
      <c r="K91" s="97">
        <v>33300.19</v>
      </c>
      <c r="L91" s="97"/>
    </row>
    <row r="92" spans="5:12" x14ac:dyDescent="0.25">
      <c r="E92" s="94" t="s">
        <v>110</v>
      </c>
      <c r="F92" s="97"/>
      <c r="G92" s="97"/>
      <c r="H92" s="97"/>
      <c r="I92" s="97"/>
      <c r="J92" s="97">
        <v>0</v>
      </c>
      <c r="K92" s="97">
        <v>0</v>
      </c>
      <c r="L92" s="97"/>
    </row>
    <row r="93" spans="5:12" x14ac:dyDescent="0.25">
      <c r="E93" s="94" t="s">
        <v>111</v>
      </c>
      <c r="F93" s="97"/>
      <c r="G93" s="97"/>
      <c r="H93" s="97"/>
      <c r="I93" s="97"/>
      <c r="J93" s="97">
        <v>0</v>
      </c>
      <c r="K93" s="97">
        <v>0</v>
      </c>
      <c r="L93" s="97"/>
    </row>
    <row r="94" spans="5:12" x14ac:dyDescent="0.25">
      <c r="E94" s="94" t="s">
        <v>112</v>
      </c>
      <c r="F94" s="97"/>
      <c r="G94" s="97"/>
      <c r="H94" s="97"/>
      <c r="I94" s="97"/>
      <c r="J94" s="97">
        <v>0</v>
      </c>
      <c r="K94" s="97">
        <v>0</v>
      </c>
      <c r="L94" s="97"/>
    </row>
    <row r="95" spans="5:12" x14ac:dyDescent="0.25">
      <c r="E95" s="94" t="s">
        <v>113</v>
      </c>
      <c r="F95" s="97"/>
      <c r="G95" s="97"/>
      <c r="H95" s="97"/>
      <c r="I95" s="97"/>
      <c r="J95" s="97">
        <v>30233.599999999999</v>
      </c>
      <c r="K95" s="97">
        <v>33300.19</v>
      </c>
      <c r="L95" s="97"/>
    </row>
    <row r="96" spans="5:12" x14ac:dyDescent="0.25">
      <c r="E96" s="94" t="s">
        <v>114</v>
      </c>
      <c r="F96" s="97"/>
      <c r="G96" s="97"/>
      <c r="H96" s="97"/>
      <c r="I96" s="97"/>
      <c r="J96" s="97">
        <v>0</v>
      </c>
      <c r="K96" s="97">
        <v>0</v>
      </c>
      <c r="L96" s="97"/>
    </row>
    <row r="97" spans="5:12" x14ac:dyDescent="0.25">
      <c r="E97" s="94" t="s">
        <v>115</v>
      </c>
      <c r="F97" s="97">
        <v>30000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L97" s="97"/>
    </row>
    <row r="98" spans="5:12" x14ac:dyDescent="0.25">
      <c r="E98" s="94" t="s">
        <v>116</v>
      </c>
      <c r="F98" s="97"/>
      <c r="G98" s="97"/>
      <c r="H98" s="97"/>
      <c r="I98" s="97"/>
      <c r="J98" s="97">
        <v>0</v>
      </c>
      <c r="K98" s="97">
        <v>0</v>
      </c>
      <c r="L98" s="97"/>
    </row>
    <row r="99" spans="5:12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L99" s="97"/>
    </row>
    <row r="100" spans="5:12" x14ac:dyDescent="0.25">
      <c r="E100" s="94" t="s">
        <v>118</v>
      </c>
      <c r="F100" s="97"/>
      <c r="G100" s="97"/>
      <c r="H100" s="97"/>
      <c r="I100" s="97"/>
      <c r="J100" s="97">
        <v>0</v>
      </c>
      <c r="K100" s="97">
        <v>0</v>
      </c>
      <c r="L100" s="97"/>
    </row>
    <row r="101" spans="5:12" x14ac:dyDescent="0.25">
      <c r="E101" s="94" t="s">
        <v>119</v>
      </c>
      <c r="F101" s="97"/>
      <c r="G101" s="97"/>
      <c r="H101" s="97"/>
      <c r="I101" s="97"/>
      <c r="J101" s="97">
        <v>0</v>
      </c>
      <c r="K101" s="97">
        <v>0</v>
      </c>
      <c r="L101" s="97"/>
    </row>
    <row r="102" spans="5:12" x14ac:dyDescent="0.25">
      <c r="E102" s="94" t="s">
        <v>120</v>
      </c>
      <c r="F102" s="97"/>
      <c r="G102" s="97"/>
      <c r="H102" s="97"/>
      <c r="I102" s="97"/>
      <c r="J102" s="97">
        <v>0</v>
      </c>
      <c r="K102" s="97">
        <v>0</v>
      </c>
      <c r="L102" s="97"/>
    </row>
    <row r="103" spans="5:12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L103" s="97"/>
    </row>
    <row r="104" spans="5:12" x14ac:dyDescent="0.25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L104" s="97"/>
    </row>
    <row r="105" spans="5:12" x14ac:dyDescent="0.25">
      <c r="E105" s="94" t="s">
        <v>123</v>
      </c>
      <c r="F105" s="97"/>
      <c r="G105" s="97"/>
      <c r="H105" s="97"/>
      <c r="I105" s="97"/>
      <c r="J105" s="97">
        <v>0</v>
      </c>
      <c r="K105" s="97">
        <v>0</v>
      </c>
      <c r="L105" s="97"/>
    </row>
    <row r="106" spans="5:12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L106" s="97"/>
    </row>
    <row r="107" spans="5:12" x14ac:dyDescent="0.25">
      <c r="E107" s="94" t="s">
        <v>125</v>
      </c>
      <c r="F107" s="97"/>
      <c r="G107" s="97"/>
      <c r="H107" s="97"/>
      <c r="I107" s="97"/>
      <c r="J107" s="97">
        <v>0</v>
      </c>
      <c r="K107" s="97">
        <v>0</v>
      </c>
      <c r="L107" s="97"/>
    </row>
    <row r="108" spans="5:12" x14ac:dyDescent="0.25">
      <c r="E108" s="94" t="s">
        <v>126</v>
      </c>
      <c r="F108" s="97"/>
      <c r="G108" s="97"/>
      <c r="H108" s="97"/>
      <c r="I108" s="97"/>
      <c r="J108" s="97">
        <v>0</v>
      </c>
      <c r="K108" s="97">
        <v>0</v>
      </c>
      <c r="L108" s="97"/>
    </row>
    <row r="109" spans="5:12" ht="15" customHeight="1" x14ac:dyDescent="0.25">
      <c r="E109" s="94" t="s">
        <v>127</v>
      </c>
      <c r="F109" s="97"/>
      <c r="G109" s="97"/>
      <c r="H109" s="97"/>
      <c r="I109" s="97"/>
      <c r="J109" s="97">
        <v>0</v>
      </c>
      <c r="K109" s="97">
        <v>0</v>
      </c>
      <c r="L109" s="97"/>
    </row>
    <row r="110" spans="5:12" ht="15" customHeight="1" x14ac:dyDescent="0.25">
      <c r="E110" s="94" t="s">
        <v>128</v>
      </c>
      <c r="F110" s="97"/>
      <c r="G110" s="97"/>
      <c r="H110" s="97"/>
      <c r="I110" s="97"/>
      <c r="J110" s="97">
        <v>0</v>
      </c>
      <c r="K110" s="97">
        <v>0</v>
      </c>
      <c r="L110" s="97"/>
    </row>
    <row r="111" spans="5:12" ht="15" customHeight="1" x14ac:dyDescent="0.25">
      <c r="E111" s="94" t="s">
        <v>129</v>
      </c>
      <c r="F111" s="97"/>
      <c r="G111" s="97"/>
      <c r="H111" s="97"/>
      <c r="I111" s="97"/>
      <c r="J111" s="97">
        <v>0</v>
      </c>
      <c r="K111" s="97">
        <v>0</v>
      </c>
      <c r="L111" s="97"/>
    </row>
    <row r="112" spans="5:12" ht="15" customHeight="1" x14ac:dyDescent="0.25">
      <c r="E112" s="94" t="s">
        <v>130</v>
      </c>
      <c r="F112" s="97"/>
      <c r="G112" s="97"/>
      <c r="H112" s="97"/>
      <c r="I112" s="97"/>
      <c r="J112" s="97">
        <v>0</v>
      </c>
      <c r="K112" s="97">
        <v>0</v>
      </c>
      <c r="L112" s="97"/>
    </row>
    <row r="113" spans="5:12" ht="15" customHeight="1" x14ac:dyDescent="0.25">
      <c r="E113" s="94" t="s">
        <v>126</v>
      </c>
      <c r="F113" s="97"/>
      <c r="G113" s="97"/>
      <c r="H113" s="97"/>
      <c r="I113" s="97"/>
      <c r="J113" s="97">
        <v>0</v>
      </c>
      <c r="K113" s="97">
        <v>0</v>
      </c>
      <c r="L113" s="97"/>
    </row>
    <row r="114" spans="5:12" x14ac:dyDescent="0.25">
      <c r="E114" s="94" t="s">
        <v>127</v>
      </c>
      <c r="F114" s="97"/>
      <c r="G114" s="97"/>
      <c r="H114" s="97"/>
      <c r="I114" s="97"/>
      <c r="J114" s="97">
        <v>0</v>
      </c>
      <c r="K114" s="97">
        <v>0</v>
      </c>
      <c r="L114" s="97"/>
    </row>
    <row r="115" spans="5:12" x14ac:dyDescent="0.25">
      <c r="E115" s="94" t="s">
        <v>128</v>
      </c>
      <c r="F115" s="97"/>
      <c r="G115" s="97"/>
      <c r="H115" s="97"/>
      <c r="I115" s="97"/>
      <c r="J115" s="97">
        <v>0</v>
      </c>
      <c r="K115" s="97">
        <v>0</v>
      </c>
      <c r="L115" s="97"/>
    </row>
    <row r="116" spans="5:12" ht="15" customHeight="1" x14ac:dyDescent="0.25">
      <c r="E116" s="94" t="s">
        <v>129</v>
      </c>
      <c r="F116" s="97"/>
      <c r="G116" s="97"/>
      <c r="H116" s="97"/>
      <c r="I116" s="97"/>
      <c r="J116" s="97">
        <v>0</v>
      </c>
      <c r="K116" s="97">
        <v>0</v>
      </c>
      <c r="L116" s="97"/>
    </row>
    <row r="117" spans="5:12" ht="15" customHeight="1" x14ac:dyDescent="0.25">
      <c r="E117" s="94" t="s">
        <v>131</v>
      </c>
      <c r="F117" s="97"/>
      <c r="G117" s="97"/>
      <c r="H117" s="97"/>
      <c r="I117" s="97"/>
      <c r="J117" s="97">
        <v>0</v>
      </c>
      <c r="K117" s="97">
        <v>0</v>
      </c>
      <c r="L117" s="97"/>
    </row>
    <row r="118" spans="5:12" ht="15" customHeight="1" x14ac:dyDescent="0.25">
      <c r="E118" s="94" t="s">
        <v>126</v>
      </c>
      <c r="F118" s="97"/>
      <c r="G118" s="97"/>
      <c r="H118" s="97"/>
      <c r="I118" s="97"/>
      <c r="J118" s="97">
        <v>0</v>
      </c>
      <c r="K118" s="97">
        <v>0</v>
      </c>
      <c r="L118" s="97"/>
    </row>
    <row r="119" spans="5:12" ht="15" customHeight="1" x14ac:dyDescent="0.25">
      <c r="E119" s="94" t="s">
        <v>127</v>
      </c>
      <c r="F119" s="97"/>
      <c r="G119" s="97"/>
      <c r="H119" s="97"/>
      <c r="I119" s="97"/>
      <c r="J119" s="97">
        <v>0</v>
      </c>
      <c r="K119" s="97">
        <v>0</v>
      </c>
      <c r="L119" s="97"/>
    </row>
    <row r="120" spans="5:12" x14ac:dyDescent="0.25">
      <c r="E120" s="94" t="s">
        <v>128</v>
      </c>
      <c r="F120" s="97"/>
      <c r="G120" s="97"/>
      <c r="H120" s="97"/>
      <c r="I120" s="97"/>
      <c r="J120" s="97">
        <v>0</v>
      </c>
      <c r="K120" s="97">
        <v>0</v>
      </c>
      <c r="L120" s="97"/>
    </row>
    <row r="121" spans="5:12" x14ac:dyDescent="0.25">
      <c r="E121" s="94" t="s">
        <v>129</v>
      </c>
      <c r="F121" s="97"/>
      <c r="G121" s="97"/>
      <c r="H121" s="97"/>
      <c r="I121" s="97"/>
      <c r="J121" s="97">
        <v>0</v>
      </c>
      <c r="K121" s="97">
        <v>0</v>
      </c>
      <c r="L121" s="97"/>
    </row>
    <row r="122" spans="5:12" x14ac:dyDescent="0.25">
      <c r="E122" s="94" t="s">
        <v>132</v>
      </c>
      <c r="F122" s="97"/>
      <c r="G122" s="97"/>
      <c r="H122" s="97"/>
      <c r="I122" s="97"/>
      <c r="J122" s="97">
        <v>0</v>
      </c>
      <c r="K122" s="97">
        <v>0</v>
      </c>
      <c r="L122" s="97"/>
    </row>
    <row r="123" spans="5:12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L123" s="97"/>
    </row>
    <row r="124" spans="5:12" x14ac:dyDescent="0.25">
      <c r="E124" s="94" t="s">
        <v>134</v>
      </c>
      <c r="F124" s="97"/>
      <c r="G124" s="97"/>
      <c r="H124" s="97"/>
      <c r="I124" s="97"/>
      <c r="J124" s="97">
        <v>0</v>
      </c>
      <c r="K124" s="97">
        <v>0</v>
      </c>
      <c r="L124" s="97"/>
    </row>
    <row r="125" spans="5:12" ht="15" customHeight="1" x14ac:dyDescent="0.25">
      <c r="E125" s="94" t="s">
        <v>135</v>
      </c>
      <c r="F125" s="97"/>
      <c r="G125" s="97"/>
      <c r="H125" s="97"/>
      <c r="I125" s="97"/>
      <c r="J125" s="97">
        <v>0</v>
      </c>
      <c r="K125" s="97">
        <v>0</v>
      </c>
      <c r="L125" s="97"/>
    </row>
    <row r="126" spans="5:12" x14ac:dyDescent="0.25">
      <c r="E126" s="94" t="s">
        <v>136</v>
      </c>
      <c r="F126" s="97">
        <v>593071.24</v>
      </c>
      <c r="G126" s="97">
        <v>2588200.16</v>
      </c>
      <c r="H126" s="97">
        <v>1815269.31</v>
      </c>
      <c r="I126" s="97">
        <v>2270200.5</v>
      </c>
      <c r="J126" s="97">
        <v>5900538.7699999996</v>
      </c>
      <c r="K126" s="97">
        <v>4683402.4400000004</v>
      </c>
      <c r="L126" s="97"/>
    </row>
    <row r="127" spans="5:12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7">
        <v>0</v>
      </c>
      <c r="L127" s="97"/>
    </row>
    <row r="128" spans="5:12" ht="15" customHeight="1" x14ac:dyDescent="0.25">
      <c r="E128" s="94" t="s">
        <v>138</v>
      </c>
      <c r="F128" s="97"/>
      <c r="G128" s="97"/>
      <c r="H128" s="97"/>
      <c r="I128" s="97"/>
      <c r="J128" s="97">
        <v>0</v>
      </c>
      <c r="K128" s="97">
        <v>0</v>
      </c>
      <c r="L128" s="97"/>
    </row>
    <row r="129" spans="5:12" ht="15" customHeight="1" x14ac:dyDescent="0.25">
      <c r="E129" s="94" t="s">
        <v>139</v>
      </c>
      <c r="F129" s="97"/>
      <c r="G129" s="97"/>
      <c r="H129" s="97"/>
      <c r="I129" s="97"/>
      <c r="J129" s="97">
        <v>0</v>
      </c>
      <c r="K129" s="97">
        <v>0</v>
      </c>
      <c r="L129" s="97"/>
    </row>
    <row r="130" spans="5:12" ht="15" customHeight="1" x14ac:dyDescent="0.25">
      <c r="E130" s="94" t="s">
        <v>140</v>
      </c>
      <c r="F130" s="97"/>
      <c r="G130" s="97"/>
      <c r="H130" s="97"/>
      <c r="I130" s="97"/>
      <c r="J130" s="97">
        <v>0</v>
      </c>
      <c r="K130" s="97">
        <v>0</v>
      </c>
      <c r="L130" s="97"/>
    </row>
    <row r="131" spans="5:12" ht="15" customHeight="1" x14ac:dyDescent="0.25">
      <c r="E131" s="94" t="s">
        <v>141</v>
      </c>
      <c r="F131" s="97"/>
      <c r="G131" s="97"/>
      <c r="H131" s="97"/>
      <c r="I131" s="97"/>
      <c r="J131" s="97">
        <v>0</v>
      </c>
      <c r="K131" s="97">
        <v>0</v>
      </c>
      <c r="L131" s="97"/>
    </row>
    <row r="132" spans="5:12" x14ac:dyDescent="0.25">
      <c r="E132" s="94" t="s">
        <v>142</v>
      </c>
      <c r="F132" s="97"/>
      <c r="G132" s="97"/>
      <c r="H132" s="97"/>
      <c r="I132" s="97"/>
      <c r="J132" s="97">
        <v>0</v>
      </c>
      <c r="K132" s="97">
        <v>0</v>
      </c>
      <c r="L132" s="97"/>
    </row>
    <row r="133" spans="5:12" x14ac:dyDescent="0.25">
      <c r="E133" s="94" t="s">
        <v>143</v>
      </c>
      <c r="F133" s="97">
        <v>133611.12</v>
      </c>
      <c r="G133" s="97">
        <v>108338.56</v>
      </c>
      <c r="H133" s="97">
        <v>94981.83</v>
      </c>
      <c r="I133" s="97">
        <v>102507.02</v>
      </c>
      <c r="J133" s="97">
        <v>3927841.32</v>
      </c>
      <c r="K133" s="97">
        <v>2533290.5099999998</v>
      </c>
      <c r="L133" s="97"/>
    </row>
    <row r="134" spans="5:12" x14ac:dyDescent="0.25">
      <c r="E134" s="94" t="s">
        <v>144</v>
      </c>
      <c r="F134" s="97"/>
      <c r="G134" s="97"/>
      <c r="H134" s="97"/>
      <c r="I134" s="97"/>
      <c r="J134" s="97">
        <v>0</v>
      </c>
      <c r="K134" s="97">
        <v>0</v>
      </c>
      <c r="L134" s="97"/>
    </row>
    <row r="135" spans="5:12" x14ac:dyDescent="0.25">
      <c r="E135" s="94" t="s">
        <v>145</v>
      </c>
      <c r="F135" s="97">
        <v>101622.5</v>
      </c>
      <c r="G135" s="97">
        <v>102558.09</v>
      </c>
      <c r="H135" s="97">
        <v>81657.119999999995</v>
      </c>
      <c r="I135" s="97">
        <v>73604.649999999994</v>
      </c>
      <c r="J135" s="97">
        <v>0</v>
      </c>
      <c r="K135" s="97">
        <v>0</v>
      </c>
      <c r="L135" s="97"/>
    </row>
    <row r="136" spans="5:12" x14ac:dyDescent="0.25">
      <c r="E136" s="94" t="s">
        <v>146</v>
      </c>
      <c r="F136" s="97"/>
      <c r="G136" s="97"/>
      <c r="H136" s="97"/>
      <c r="I136" s="97"/>
      <c r="J136" s="97">
        <v>0</v>
      </c>
      <c r="K136" s="97">
        <v>0</v>
      </c>
      <c r="L136" s="97"/>
    </row>
    <row r="137" spans="5:12" x14ac:dyDescent="0.25">
      <c r="E137" s="94" t="s">
        <v>147</v>
      </c>
      <c r="F137" s="97"/>
      <c r="G137" s="97"/>
      <c r="H137" s="97"/>
      <c r="I137" s="97"/>
      <c r="J137" s="97">
        <v>0</v>
      </c>
      <c r="K137" s="97">
        <v>0</v>
      </c>
      <c r="L137" s="97"/>
    </row>
    <row r="138" spans="5:12" x14ac:dyDescent="0.25">
      <c r="E138" s="94" t="s">
        <v>148</v>
      </c>
      <c r="F138" s="97"/>
      <c r="G138" s="97"/>
      <c r="H138" s="97"/>
      <c r="I138" s="97"/>
      <c r="J138" s="97">
        <v>0</v>
      </c>
      <c r="K138" s="97">
        <v>0</v>
      </c>
      <c r="L138" s="97"/>
    </row>
    <row r="139" spans="5:12" x14ac:dyDescent="0.25">
      <c r="E139" s="94" t="s">
        <v>149</v>
      </c>
      <c r="F139" s="97"/>
      <c r="G139" s="97"/>
      <c r="H139" s="97"/>
      <c r="I139" s="97"/>
      <c r="J139" s="97">
        <v>0</v>
      </c>
      <c r="K139" s="97">
        <v>0</v>
      </c>
      <c r="L139" s="97"/>
    </row>
    <row r="140" spans="5:12" x14ac:dyDescent="0.25">
      <c r="E140" s="94" t="s">
        <v>145</v>
      </c>
      <c r="F140" s="97"/>
      <c r="G140" s="97"/>
      <c r="H140" s="97"/>
      <c r="I140" s="97"/>
      <c r="J140" s="97">
        <v>0</v>
      </c>
      <c r="K140" s="97">
        <v>0</v>
      </c>
      <c r="L140" s="97"/>
    </row>
    <row r="141" spans="5:12" x14ac:dyDescent="0.25">
      <c r="E141" s="94" t="s">
        <v>146</v>
      </c>
      <c r="F141" s="97"/>
      <c r="G141" s="97"/>
      <c r="H141" s="97"/>
      <c r="I141" s="97"/>
      <c r="J141" s="97">
        <v>0</v>
      </c>
      <c r="K141" s="97">
        <v>0</v>
      </c>
      <c r="L141" s="97"/>
    </row>
    <row r="142" spans="5:12" x14ac:dyDescent="0.25">
      <c r="E142" s="94" t="s">
        <v>147</v>
      </c>
      <c r="F142" s="97"/>
      <c r="G142" s="97"/>
      <c r="H142" s="97"/>
      <c r="I142" s="97"/>
      <c r="J142" s="97">
        <v>0</v>
      </c>
      <c r="K142" s="97">
        <v>0</v>
      </c>
      <c r="L142" s="97"/>
    </row>
    <row r="143" spans="5:12" x14ac:dyDescent="0.25">
      <c r="E143" s="94" t="s">
        <v>148</v>
      </c>
      <c r="F143" s="97"/>
      <c r="G143" s="97"/>
      <c r="H143" s="97"/>
      <c r="I143" s="97"/>
      <c r="J143" s="97">
        <v>0</v>
      </c>
      <c r="K143" s="97">
        <v>0</v>
      </c>
      <c r="L143" s="97"/>
    </row>
    <row r="144" spans="5:12" x14ac:dyDescent="0.25">
      <c r="E144" s="94" t="s">
        <v>150</v>
      </c>
      <c r="F144" s="97"/>
      <c r="G144" s="97"/>
      <c r="H144" s="97"/>
      <c r="I144" s="97"/>
      <c r="J144" s="97">
        <v>3927841.32</v>
      </c>
      <c r="K144" s="97">
        <v>2533290.5099999998</v>
      </c>
      <c r="L144" s="97"/>
    </row>
    <row r="145" spans="5:12" x14ac:dyDescent="0.25">
      <c r="E145" s="94" t="s">
        <v>145</v>
      </c>
      <c r="F145" s="97"/>
      <c r="G145" s="97"/>
      <c r="H145" s="97"/>
      <c r="I145" s="97"/>
      <c r="J145" s="97">
        <v>3831958.57</v>
      </c>
      <c r="K145" s="97">
        <v>2506984.9300000002</v>
      </c>
      <c r="L145" s="97"/>
    </row>
    <row r="146" spans="5:12" x14ac:dyDescent="0.25">
      <c r="E146" s="94" t="s">
        <v>146</v>
      </c>
      <c r="F146" s="97"/>
      <c r="G146" s="97"/>
      <c r="H146" s="97"/>
      <c r="I146" s="97"/>
      <c r="J146" s="97">
        <v>3831958.57</v>
      </c>
      <c r="K146" s="97">
        <v>2506984.9300000002</v>
      </c>
      <c r="L146" s="97"/>
    </row>
    <row r="147" spans="5:12" x14ac:dyDescent="0.25">
      <c r="E147" s="94" t="s">
        <v>147</v>
      </c>
      <c r="F147" s="97"/>
      <c r="G147" s="97"/>
      <c r="H147" s="97"/>
      <c r="I147" s="97"/>
      <c r="J147" s="97">
        <v>0</v>
      </c>
      <c r="K147" s="97">
        <v>0</v>
      </c>
      <c r="L147" s="97"/>
    </row>
    <row r="148" spans="5:12" x14ac:dyDescent="0.25">
      <c r="E148" s="94" t="s">
        <v>151</v>
      </c>
      <c r="F148" s="97"/>
      <c r="G148" s="97"/>
      <c r="H148" s="97"/>
      <c r="I148" s="97"/>
      <c r="J148" s="97">
        <v>83184.61</v>
      </c>
      <c r="K148" s="97">
        <v>24363.43</v>
      </c>
      <c r="L148" s="97"/>
    </row>
    <row r="149" spans="5:12" x14ac:dyDescent="0.25">
      <c r="E149" s="94" t="s">
        <v>152</v>
      </c>
      <c r="F149" s="97"/>
      <c r="G149" s="97"/>
      <c r="H149" s="97"/>
      <c r="I149" s="97"/>
      <c r="J149" s="97">
        <v>12698.14</v>
      </c>
      <c r="K149" s="97">
        <v>1942.15</v>
      </c>
      <c r="L149" s="97"/>
    </row>
    <row r="150" spans="5:12" x14ac:dyDescent="0.25">
      <c r="E150" s="94" t="s">
        <v>153</v>
      </c>
      <c r="F150" s="97"/>
      <c r="G150" s="97"/>
      <c r="H150" s="97"/>
      <c r="I150" s="97"/>
      <c r="J150" s="97">
        <v>0</v>
      </c>
      <c r="K150" s="97">
        <v>0</v>
      </c>
      <c r="L150" s="97"/>
    </row>
    <row r="151" spans="5:12" x14ac:dyDescent="0.25">
      <c r="E151" s="94" t="s">
        <v>154</v>
      </c>
      <c r="F151" s="97">
        <v>457804.64</v>
      </c>
      <c r="G151" s="97">
        <v>2478339.0699999998</v>
      </c>
      <c r="H151" s="97">
        <v>1718429.92</v>
      </c>
      <c r="I151" s="97">
        <v>2164625.56</v>
      </c>
      <c r="J151" s="97">
        <v>1972697.45</v>
      </c>
      <c r="K151" s="97">
        <v>2150111.9300000002</v>
      </c>
      <c r="L151" s="97"/>
    </row>
    <row r="152" spans="5:12" x14ac:dyDescent="0.25">
      <c r="E152" s="94" t="s">
        <v>155</v>
      </c>
      <c r="F152" s="97">
        <v>457804.64</v>
      </c>
      <c r="G152" s="97">
        <v>2478339.0699999998</v>
      </c>
      <c r="H152" s="97">
        <v>1718429.92</v>
      </c>
      <c r="I152" s="97">
        <v>2164625.56</v>
      </c>
      <c r="J152" s="97">
        <v>1969383.92</v>
      </c>
      <c r="K152" s="97">
        <v>2150111.9300000002</v>
      </c>
      <c r="L152" s="97"/>
    </row>
    <row r="153" spans="5:12" x14ac:dyDescent="0.25">
      <c r="E153" s="94" t="s">
        <v>125</v>
      </c>
      <c r="F153" s="97"/>
      <c r="G153" s="97"/>
      <c r="H153" s="97"/>
      <c r="I153" s="97"/>
      <c r="J153" s="97">
        <v>0</v>
      </c>
      <c r="K153" s="97">
        <v>0</v>
      </c>
      <c r="L153" s="97"/>
    </row>
    <row r="154" spans="5:12" x14ac:dyDescent="0.25">
      <c r="E154" s="94" t="s">
        <v>156</v>
      </c>
      <c r="F154" s="97"/>
      <c r="G154" s="97"/>
      <c r="H154" s="97"/>
      <c r="I154" s="97"/>
      <c r="J154" s="97">
        <v>0</v>
      </c>
      <c r="K154" s="97">
        <v>0</v>
      </c>
      <c r="L154" s="97"/>
    </row>
    <row r="155" spans="5:12" x14ac:dyDescent="0.25">
      <c r="E155" s="94" t="s">
        <v>157</v>
      </c>
      <c r="F155" s="97"/>
      <c r="G155" s="97"/>
      <c r="H155" s="97"/>
      <c r="I155" s="97"/>
      <c r="J155" s="97">
        <v>0</v>
      </c>
      <c r="K155" s="97">
        <v>0</v>
      </c>
      <c r="L155" s="97"/>
    </row>
    <row r="156" spans="5:12" x14ac:dyDescent="0.25">
      <c r="E156" s="94" t="s">
        <v>158</v>
      </c>
      <c r="F156" s="97"/>
      <c r="G156" s="97"/>
      <c r="H156" s="97"/>
      <c r="I156" s="97"/>
      <c r="J156" s="97">
        <v>0</v>
      </c>
      <c r="K156" s="97">
        <v>0</v>
      </c>
      <c r="L156" s="97"/>
    </row>
    <row r="157" spans="5:12" x14ac:dyDescent="0.25">
      <c r="E157" s="94" t="s">
        <v>159</v>
      </c>
      <c r="F157" s="97"/>
      <c r="G157" s="97"/>
      <c r="H157" s="97"/>
      <c r="I157" s="97"/>
      <c r="J157" s="97">
        <v>0</v>
      </c>
      <c r="K157" s="97">
        <v>0</v>
      </c>
      <c r="L157" s="97"/>
    </row>
    <row r="158" spans="5:12" x14ac:dyDescent="0.25">
      <c r="E158" s="94" t="s">
        <v>160</v>
      </c>
      <c r="F158" s="97"/>
      <c r="G158" s="97"/>
      <c r="H158" s="97"/>
      <c r="I158" s="97"/>
      <c r="J158" s="97">
        <v>0</v>
      </c>
      <c r="K158" s="97">
        <v>0</v>
      </c>
      <c r="L158" s="97"/>
    </row>
    <row r="159" spans="5:12" x14ac:dyDescent="0.25">
      <c r="E159" s="94" t="s">
        <v>156</v>
      </c>
      <c r="F159" s="97"/>
      <c r="G159" s="97"/>
      <c r="H159" s="97"/>
      <c r="I159" s="97"/>
      <c r="J159" s="97">
        <v>0</v>
      </c>
      <c r="K159" s="97">
        <v>0</v>
      </c>
      <c r="L159" s="97"/>
    </row>
    <row r="160" spans="5:12" x14ac:dyDescent="0.25">
      <c r="E160" s="94" t="s">
        <v>157</v>
      </c>
      <c r="F160" s="97"/>
      <c r="G160" s="97"/>
      <c r="H160" s="97"/>
      <c r="I160" s="97"/>
      <c r="J160" s="97">
        <v>0</v>
      </c>
      <c r="K160" s="97">
        <v>0</v>
      </c>
      <c r="L160" s="97"/>
    </row>
    <row r="161" spans="5:12" x14ac:dyDescent="0.25">
      <c r="E161" s="94" t="s">
        <v>158</v>
      </c>
      <c r="F161" s="97"/>
      <c r="G161" s="97"/>
      <c r="H161" s="97"/>
      <c r="I161" s="97"/>
      <c r="J161" s="97">
        <v>0</v>
      </c>
      <c r="K161" s="97">
        <v>0</v>
      </c>
      <c r="L161" s="97"/>
    </row>
    <row r="162" spans="5:12" x14ac:dyDescent="0.25">
      <c r="E162" s="94" t="s">
        <v>159</v>
      </c>
      <c r="F162" s="97"/>
      <c r="G162" s="97"/>
      <c r="H162" s="97"/>
      <c r="I162" s="97"/>
      <c r="J162" s="97">
        <v>0</v>
      </c>
      <c r="K162" s="97">
        <v>0</v>
      </c>
      <c r="L162" s="97"/>
    </row>
    <row r="163" spans="5:12" x14ac:dyDescent="0.25">
      <c r="E163" s="94" t="s">
        <v>161</v>
      </c>
      <c r="F163" s="97">
        <v>457804.64</v>
      </c>
      <c r="G163" s="97">
        <v>2478339.0699999998</v>
      </c>
      <c r="H163" s="97">
        <v>1608429.92</v>
      </c>
      <c r="I163" s="97">
        <v>2164625.56</v>
      </c>
      <c r="J163" s="97">
        <v>1969383.92</v>
      </c>
      <c r="K163" s="97">
        <v>2150111.9300000002</v>
      </c>
      <c r="L163" s="97"/>
    </row>
    <row r="164" spans="5:12" x14ac:dyDescent="0.25">
      <c r="E164" s="94" t="s">
        <v>162</v>
      </c>
      <c r="F164" s="97"/>
      <c r="G164" s="97"/>
      <c r="H164" s="97"/>
      <c r="I164" s="97"/>
      <c r="J164" s="97">
        <v>1969383.92</v>
      </c>
      <c r="K164" s="97">
        <v>2149222.89</v>
      </c>
      <c r="L164" s="97"/>
    </row>
    <row r="165" spans="5:12" x14ac:dyDescent="0.25">
      <c r="E165" s="94" t="s">
        <v>163</v>
      </c>
      <c r="F165" s="97"/>
      <c r="G165" s="97"/>
      <c r="H165" s="97"/>
      <c r="I165" s="97"/>
      <c r="J165" s="97">
        <v>0</v>
      </c>
      <c r="K165" s="97">
        <v>0</v>
      </c>
      <c r="L165" s="97"/>
    </row>
    <row r="166" spans="5:12" x14ac:dyDescent="0.25">
      <c r="E166" s="94" t="s">
        <v>164</v>
      </c>
      <c r="F166" s="97"/>
      <c r="G166" s="97"/>
      <c r="H166" s="97"/>
      <c r="I166" s="97"/>
      <c r="J166" s="97">
        <v>0</v>
      </c>
      <c r="K166" s="97">
        <v>889.04</v>
      </c>
      <c r="L166" s="97"/>
    </row>
    <row r="167" spans="5:12" x14ac:dyDescent="0.25">
      <c r="E167" s="94" t="s">
        <v>165</v>
      </c>
      <c r="F167" s="97"/>
      <c r="G167" s="97"/>
      <c r="H167" s="97"/>
      <c r="I167" s="97"/>
      <c r="J167" s="97">
        <v>3313.53</v>
      </c>
      <c r="K167" s="97">
        <v>0</v>
      </c>
      <c r="L167" s="97"/>
    </row>
    <row r="168" spans="5:12" x14ac:dyDescent="0.25">
      <c r="E168" s="94" t="s">
        <v>166</v>
      </c>
      <c r="F168" s="97">
        <v>1655.48</v>
      </c>
      <c r="G168" s="97">
        <v>1522.53</v>
      </c>
      <c r="H168" s="97">
        <v>1857.56</v>
      </c>
      <c r="I168" s="97">
        <v>3067.92</v>
      </c>
      <c r="J168" s="97">
        <v>0</v>
      </c>
      <c r="K168" s="97">
        <v>0</v>
      </c>
      <c r="L168" s="97"/>
    </row>
    <row r="169" spans="5:12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L169" s="97"/>
    </row>
    <row r="170" spans="5:12" x14ac:dyDescent="0.25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L170" s="97"/>
    </row>
    <row r="171" spans="5:12" x14ac:dyDescent="0.25">
      <c r="E171" s="94" t="s">
        <v>169</v>
      </c>
      <c r="F171" s="97">
        <v>1592609.84</v>
      </c>
      <c r="G171" s="97">
        <v>2651761.2200000002</v>
      </c>
      <c r="H171" s="97">
        <v>1899027.34</v>
      </c>
      <c r="I171" s="97">
        <v>2368541.13</v>
      </c>
      <c r="J171" s="97">
        <v>5930772.3700000001</v>
      </c>
      <c r="K171" s="97">
        <v>4716702.63</v>
      </c>
      <c r="L171" s="97"/>
    </row>
    <row r="172" spans="5:12" x14ac:dyDescent="0.25">
      <c r="E172" s="94" t="s">
        <v>170</v>
      </c>
      <c r="F172" s="97">
        <v>872572.26</v>
      </c>
      <c r="G172" s="97">
        <v>297056.46000000002</v>
      </c>
      <c r="H172" s="97">
        <v>246294.64</v>
      </c>
      <c r="I172" s="97">
        <v>206651.82</v>
      </c>
      <c r="J172" s="97">
        <v>159761.95000000001</v>
      </c>
      <c r="K172" s="97">
        <v>136929.45000000001</v>
      </c>
      <c r="L172" s="97"/>
    </row>
    <row r="173" spans="5:12" x14ac:dyDescent="0.25">
      <c r="E173" s="94" t="s">
        <v>171</v>
      </c>
      <c r="F173" s="97">
        <v>107500</v>
      </c>
      <c r="G173" s="97">
        <v>107500</v>
      </c>
      <c r="H173" s="97">
        <v>107500</v>
      </c>
      <c r="I173" s="97">
        <v>107500</v>
      </c>
      <c r="J173" s="97">
        <v>107500</v>
      </c>
      <c r="K173" s="97">
        <v>107500</v>
      </c>
      <c r="L173" s="97"/>
    </row>
    <row r="174" spans="5:12" x14ac:dyDescent="0.25">
      <c r="E174" s="94" t="s">
        <v>172</v>
      </c>
      <c r="F174" s="97">
        <v>52163.67</v>
      </c>
      <c r="G174" s="97">
        <v>42011.31</v>
      </c>
      <c r="H174" s="97">
        <v>99151.82</v>
      </c>
      <c r="I174" s="97">
        <v>6000</v>
      </c>
      <c r="J174" s="97">
        <v>5000</v>
      </c>
      <c r="K174" s="97">
        <v>5000</v>
      </c>
      <c r="L174" s="97"/>
    </row>
    <row r="175" spans="5:12" x14ac:dyDescent="0.25">
      <c r="E175" s="94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L175" s="97"/>
    </row>
    <row r="176" spans="5:12" x14ac:dyDescent="0.25">
      <c r="E176" s="94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L176" s="97"/>
    </row>
    <row r="177" spans="5:12" x14ac:dyDescent="0.25">
      <c r="E177" s="94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L177" s="97"/>
    </row>
    <row r="178" spans="5:12" x14ac:dyDescent="0.25">
      <c r="E178" s="94" t="s">
        <v>176</v>
      </c>
      <c r="F178" s="97">
        <v>137392.79</v>
      </c>
      <c r="G178" s="97">
        <v>96783.33</v>
      </c>
      <c r="H178" s="97">
        <v>0</v>
      </c>
      <c r="I178" s="97">
        <v>0</v>
      </c>
      <c r="J178" s="97">
        <v>0</v>
      </c>
      <c r="K178" s="97">
        <v>0</v>
      </c>
      <c r="L178" s="97"/>
    </row>
    <row r="179" spans="5:12" x14ac:dyDescent="0.25">
      <c r="E179" s="94" t="s">
        <v>177</v>
      </c>
      <c r="F179" s="97"/>
      <c r="G179" s="97"/>
      <c r="H179" s="97"/>
      <c r="I179" s="97"/>
      <c r="J179" s="97">
        <v>0</v>
      </c>
      <c r="K179" s="97">
        <v>0</v>
      </c>
      <c r="L179" s="97"/>
    </row>
    <row r="180" spans="5:12" x14ac:dyDescent="0.25">
      <c r="E180" s="94" t="s">
        <v>178</v>
      </c>
      <c r="F180" s="97"/>
      <c r="G180" s="97"/>
      <c r="H180" s="97"/>
      <c r="I180" s="97"/>
      <c r="J180" s="97">
        <v>0</v>
      </c>
      <c r="K180" s="97">
        <v>0</v>
      </c>
      <c r="L180" s="97"/>
    </row>
    <row r="181" spans="5:12" x14ac:dyDescent="0.25">
      <c r="E181" s="94" t="s">
        <v>179</v>
      </c>
      <c r="F181" s="97">
        <v>0</v>
      </c>
      <c r="G181" s="97">
        <v>0</v>
      </c>
      <c r="H181" s="97">
        <v>0</v>
      </c>
      <c r="I181" s="97">
        <v>47261.95</v>
      </c>
      <c r="J181" s="97">
        <v>24429.45</v>
      </c>
      <c r="K181" s="97">
        <v>-55139.27</v>
      </c>
      <c r="L181" s="97"/>
    </row>
    <row r="182" spans="5:12" x14ac:dyDescent="0.25">
      <c r="E182" s="94" t="s">
        <v>180</v>
      </c>
      <c r="F182" s="97">
        <v>575515.80000000005</v>
      </c>
      <c r="G182" s="97">
        <v>50761.82</v>
      </c>
      <c r="H182" s="97">
        <v>39642.82</v>
      </c>
      <c r="I182" s="97">
        <v>45889.87</v>
      </c>
      <c r="J182" s="97">
        <v>22832.5</v>
      </c>
      <c r="K182" s="97">
        <v>79568.72</v>
      </c>
      <c r="L182" s="97"/>
    </row>
    <row r="183" spans="5:12" x14ac:dyDescent="0.25">
      <c r="E183" s="94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L183" s="97"/>
    </row>
    <row r="184" spans="5:12" x14ac:dyDescent="0.25">
      <c r="E184" s="94" t="s">
        <v>182</v>
      </c>
      <c r="F184" s="97">
        <v>720037.58</v>
      </c>
      <c r="G184" s="97">
        <v>2354704.7599999998</v>
      </c>
      <c r="H184" s="97">
        <v>1652732.7</v>
      </c>
      <c r="I184" s="97">
        <v>2161889.31</v>
      </c>
      <c r="J184" s="97">
        <v>5771010.4199999999</v>
      </c>
      <c r="K184" s="97">
        <v>4579773.18</v>
      </c>
      <c r="L184" s="97"/>
    </row>
    <row r="185" spans="5:12" x14ac:dyDescent="0.25">
      <c r="E185" s="94" t="s">
        <v>183</v>
      </c>
      <c r="F185" s="97">
        <v>0</v>
      </c>
      <c r="G185" s="97">
        <v>0</v>
      </c>
      <c r="H185" s="97">
        <v>2280.33</v>
      </c>
      <c r="I185" s="97">
        <v>0</v>
      </c>
      <c r="J185" s="97">
        <v>0</v>
      </c>
      <c r="K185" s="97">
        <v>0</v>
      </c>
      <c r="L185" s="97"/>
    </row>
    <row r="186" spans="5:12" x14ac:dyDescent="0.25">
      <c r="E186" s="94" t="s">
        <v>184</v>
      </c>
      <c r="F186" s="97"/>
      <c r="G186" s="97"/>
      <c r="H186" s="97"/>
      <c r="I186" s="97"/>
      <c r="J186" s="97">
        <v>0</v>
      </c>
      <c r="K186" s="97">
        <v>0</v>
      </c>
      <c r="L186" s="97"/>
    </row>
    <row r="187" spans="5:12" x14ac:dyDescent="0.25">
      <c r="E187" s="94" t="s">
        <v>185</v>
      </c>
      <c r="F187" s="97"/>
      <c r="G187" s="97"/>
      <c r="H187" s="97"/>
      <c r="I187" s="97"/>
      <c r="J187" s="97">
        <v>0</v>
      </c>
      <c r="K187" s="97">
        <v>0</v>
      </c>
      <c r="L187" s="97"/>
    </row>
    <row r="188" spans="5:12" x14ac:dyDescent="0.25">
      <c r="E188" s="94" t="s">
        <v>186</v>
      </c>
      <c r="F188" s="97"/>
      <c r="G188" s="97"/>
      <c r="H188" s="97"/>
      <c r="I188" s="97"/>
      <c r="J188" s="97">
        <v>0</v>
      </c>
      <c r="K188" s="97">
        <v>0</v>
      </c>
      <c r="L188" s="97"/>
    </row>
    <row r="189" spans="5:12" x14ac:dyDescent="0.25">
      <c r="E189" s="94" t="s">
        <v>187</v>
      </c>
      <c r="F189" s="97"/>
      <c r="G189" s="97"/>
      <c r="H189" s="97"/>
      <c r="I189" s="97"/>
      <c r="J189" s="97">
        <v>0</v>
      </c>
      <c r="K189" s="97">
        <v>0</v>
      </c>
      <c r="L189" s="97"/>
    </row>
    <row r="190" spans="5:12" x14ac:dyDescent="0.25">
      <c r="E190" s="94" t="s">
        <v>188</v>
      </c>
      <c r="F190" s="97"/>
      <c r="G190" s="97"/>
      <c r="H190" s="97"/>
      <c r="I190" s="97"/>
      <c r="J190" s="97">
        <v>0</v>
      </c>
      <c r="K190" s="97">
        <v>0</v>
      </c>
      <c r="L190" s="97"/>
    </row>
    <row r="191" spans="5:12" x14ac:dyDescent="0.25">
      <c r="E191" s="94" t="s">
        <v>186</v>
      </c>
      <c r="F191" s="97"/>
      <c r="G191" s="97"/>
      <c r="H191" s="97"/>
      <c r="I191" s="97"/>
      <c r="J191" s="97">
        <v>0</v>
      </c>
      <c r="K191" s="97">
        <v>0</v>
      </c>
      <c r="L191" s="97"/>
    </row>
    <row r="192" spans="5:12" x14ac:dyDescent="0.25">
      <c r="E192" s="94" t="s">
        <v>187</v>
      </c>
      <c r="F192" s="97"/>
      <c r="G192" s="97"/>
      <c r="H192" s="97"/>
      <c r="I192" s="97"/>
      <c r="J192" s="97">
        <v>0</v>
      </c>
      <c r="K192" s="97">
        <v>0</v>
      </c>
      <c r="L192" s="97"/>
    </row>
    <row r="193" spans="5:12" x14ac:dyDescent="0.25">
      <c r="E193" s="94" t="s">
        <v>189</v>
      </c>
      <c r="F193" s="97">
        <v>0</v>
      </c>
      <c r="G193" s="97">
        <v>0</v>
      </c>
      <c r="H193" s="97">
        <v>0</v>
      </c>
      <c r="I193" s="97">
        <v>0</v>
      </c>
      <c r="J193" s="97">
        <v>0</v>
      </c>
      <c r="K193" s="97">
        <v>0</v>
      </c>
      <c r="L193" s="97"/>
    </row>
    <row r="194" spans="5:12" x14ac:dyDescent="0.25">
      <c r="E194" s="94" t="s">
        <v>190</v>
      </c>
      <c r="F194" s="97"/>
      <c r="G194" s="97"/>
      <c r="H194" s="97"/>
      <c r="I194" s="97"/>
      <c r="J194" s="97">
        <v>0</v>
      </c>
      <c r="K194" s="97">
        <v>0</v>
      </c>
      <c r="L194" s="97"/>
    </row>
    <row r="195" spans="5:12" x14ac:dyDescent="0.25">
      <c r="E195" s="94" t="s">
        <v>191</v>
      </c>
      <c r="F195" s="97"/>
      <c r="G195" s="97"/>
      <c r="H195" s="97"/>
      <c r="I195" s="97"/>
      <c r="J195" s="97">
        <v>0</v>
      </c>
      <c r="K195" s="97">
        <v>0</v>
      </c>
      <c r="L195" s="97"/>
    </row>
    <row r="196" spans="5:12" x14ac:dyDescent="0.25">
      <c r="E196" s="94" t="s">
        <v>192</v>
      </c>
      <c r="F196" s="97"/>
      <c r="G196" s="97"/>
      <c r="H196" s="97"/>
      <c r="I196" s="97"/>
      <c r="J196" s="97">
        <v>0</v>
      </c>
      <c r="K196" s="97">
        <v>0</v>
      </c>
      <c r="L196" s="97"/>
    </row>
    <row r="197" spans="5:12" x14ac:dyDescent="0.25">
      <c r="E197" s="94" t="s">
        <v>193</v>
      </c>
      <c r="F197" s="97"/>
      <c r="G197" s="97"/>
      <c r="H197" s="97"/>
      <c r="I197" s="97"/>
      <c r="J197" s="97">
        <v>0</v>
      </c>
      <c r="K197" s="97">
        <v>0</v>
      </c>
      <c r="L197" s="97"/>
    </row>
    <row r="198" spans="5:12" x14ac:dyDescent="0.25">
      <c r="E198" s="94" t="s">
        <v>194</v>
      </c>
      <c r="F198" s="97"/>
      <c r="G198" s="97"/>
      <c r="H198" s="97"/>
      <c r="I198" s="97"/>
      <c r="J198" s="97">
        <v>0</v>
      </c>
      <c r="K198" s="97">
        <v>0</v>
      </c>
      <c r="L198" s="97"/>
    </row>
    <row r="199" spans="5:12" x14ac:dyDescent="0.25">
      <c r="E199" s="94" t="s">
        <v>195</v>
      </c>
      <c r="F199" s="97"/>
      <c r="G199" s="97"/>
      <c r="H199" s="97"/>
      <c r="I199" s="97"/>
      <c r="J199" s="97">
        <v>0</v>
      </c>
      <c r="K199" s="97">
        <v>0</v>
      </c>
      <c r="L199" s="97"/>
    </row>
    <row r="200" spans="5:12" x14ac:dyDescent="0.25">
      <c r="E200" s="94" t="s">
        <v>196</v>
      </c>
      <c r="F200" s="97"/>
      <c r="G200" s="97"/>
      <c r="H200" s="97"/>
      <c r="I200" s="97"/>
      <c r="J200" s="97">
        <v>0</v>
      </c>
      <c r="K200" s="97">
        <v>0</v>
      </c>
      <c r="L200" s="97"/>
    </row>
    <row r="201" spans="5:12" x14ac:dyDescent="0.25">
      <c r="E201" s="94" t="s">
        <v>197</v>
      </c>
      <c r="F201" s="97"/>
      <c r="G201" s="97"/>
      <c r="H201" s="97"/>
      <c r="I201" s="97"/>
      <c r="J201" s="97">
        <v>0</v>
      </c>
      <c r="K201" s="97">
        <v>0</v>
      </c>
      <c r="L201" s="97"/>
    </row>
    <row r="202" spans="5:12" x14ac:dyDescent="0.25">
      <c r="E202" s="94" t="s">
        <v>198</v>
      </c>
      <c r="F202" s="97">
        <v>78268.960000000006</v>
      </c>
      <c r="G202" s="97">
        <v>149755.51999999999</v>
      </c>
      <c r="H202" s="97">
        <v>271566.03000000003</v>
      </c>
      <c r="I202" s="97">
        <v>24337.99</v>
      </c>
      <c r="J202" s="97">
        <v>5154562.4400000004</v>
      </c>
      <c r="K202" s="97">
        <v>4309759.4400000004</v>
      </c>
      <c r="L202" s="97"/>
    </row>
    <row r="203" spans="5:12" x14ac:dyDescent="0.25">
      <c r="E203" s="94" t="s">
        <v>190</v>
      </c>
      <c r="F203" s="97"/>
      <c r="G203" s="97"/>
      <c r="H203" s="97"/>
      <c r="I203" s="97"/>
      <c r="J203" s="97">
        <v>0</v>
      </c>
      <c r="K203" s="97">
        <v>0</v>
      </c>
      <c r="L203" s="97"/>
    </row>
    <row r="204" spans="5:12" x14ac:dyDescent="0.25">
      <c r="E204" s="94" t="s">
        <v>199</v>
      </c>
      <c r="F204" s="97"/>
      <c r="G204" s="97"/>
      <c r="H204" s="97"/>
      <c r="I204" s="97"/>
      <c r="J204" s="97">
        <v>0</v>
      </c>
      <c r="K204" s="97">
        <v>0</v>
      </c>
      <c r="L204" s="97"/>
    </row>
    <row r="205" spans="5:12" x14ac:dyDescent="0.25">
      <c r="E205" s="94" t="s">
        <v>200</v>
      </c>
      <c r="F205" s="97"/>
      <c r="G205" s="97"/>
      <c r="H205" s="97"/>
      <c r="I205" s="97"/>
      <c r="J205" s="97">
        <v>0</v>
      </c>
      <c r="K205" s="97">
        <v>0</v>
      </c>
      <c r="L205" s="97"/>
    </row>
    <row r="206" spans="5:12" x14ac:dyDescent="0.25">
      <c r="E206" s="94" t="s">
        <v>146</v>
      </c>
      <c r="F206" s="97"/>
      <c r="G206" s="97"/>
      <c r="H206" s="97"/>
      <c r="I206" s="97"/>
      <c r="J206" s="97">
        <v>0</v>
      </c>
      <c r="K206" s="97">
        <v>0</v>
      </c>
      <c r="L206" s="97"/>
    </row>
    <row r="207" spans="5:12" x14ac:dyDescent="0.25">
      <c r="E207" s="94" t="s">
        <v>147</v>
      </c>
      <c r="F207" s="97"/>
      <c r="G207" s="97"/>
      <c r="H207" s="97"/>
      <c r="I207" s="97"/>
      <c r="J207" s="97">
        <v>0</v>
      </c>
      <c r="K207" s="97">
        <v>0</v>
      </c>
      <c r="L207" s="97"/>
    </row>
    <row r="208" spans="5:12" x14ac:dyDescent="0.25">
      <c r="E208" s="94" t="s">
        <v>148</v>
      </c>
      <c r="F208" s="97"/>
      <c r="G208" s="97"/>
      <c r="H208" s="97"/>
      <c r="I208" s="97"/>
      <c r="J208" s="97">
        <v>0</v>
      </c>
      <c r="K208" s="97">
        <v>0</v>
      </c>
      <c r="L208" s="97"/>
    </row>
    <row r="209" spans="5:12" x14ac:dyDescent="0.25">
      <c r="E209" s="94" t="s">
        <v>192</v>
      </c>
      <c r="F209" s="97"/>
      <c r="G209" s="97"/>
      <c r="H209" s="97"/>
      <c r="I209" s="97"/>
      <c r="J209" s="97">
        <v>5154562.4400000004</v>
      </c>
      <c r="K209" s="97">
        <v>4309759.4400000004</v>
      </c>
      <c r="L209" s="97"/>
    </row>
    <row r="210" spans="5:12" x14ac:dyDescent="0.25">
      <c r="E210" s="94" t="s">
        <v>193</v>
      </c>
      <c r="F210" s="97"/>
      <c r="G210" s="97"/>
      <c r="H210" s="97"/>
      <c r="I210" s="97"/>
      <c r="J210" s="97">
        <v>0</v>
      </c>
      <c r="K210" s="97">
        <v>0</v>
      </c>
      <c r="L210" s="97"/>
    </row>
    <row r="211" spans="5:12" x14ac:dyDescent="0.25">
      <c r="E211" s="94" t="s">
        <v>194</v>
      </c>
      <c r="F211" s="97"/>
      <c r="G211" s="97"/>
      <c r="H211" s="97"/>
      <c r="I211" s="97"/>
      <c r="J211" s="97">
        <v>0</v>
      </c>
      <c r="K211" s="97">
        <v>0</v>
      </c>
      <c r="L211" s="97"/>
    </row>
    <row r="212" spans="5:12" x14ac:dyDescent="0.25">
      <c r="E212" s="94" t="s">
        <v>195</v>
      </c>
      <c r="F212" s="97"/>
      <c r="G212" s="97"/>
      <c r="H212" s="97"/>
      <c r="I212" s="97"/>
      <c r="J212" s="97">
        <v>0</v>
      </c>
      <c r="K212" s="97">
        <v>0</v>
      </c>
      <c r="L212" s="97"/>
    </row>
    <row r="213" spans="5:12" x14ac:dyDescent="0.25">
      <c r="E213" s="94" t="s">
        <v>201</v>
      </c>
      <c r="F213" s="97"/>
      <c r="G213" s="97"/>
      <c r="H213" s="97"/>
      <c r="I213" s="97"/>
      <c r="J213" s="97">
        <v>5051216.04</v>
      </c>
      <c r="K213" s="97">
        <v>4286920.29</v>
      </c>
      <c r="L213" s="97"/>
    </row>
    <row r="214" spans="5:12" x14ac:dyDescent="0.25">
      <c r="E214" s="94" t="s">
        <v>146</v>
      </c>
      <c r="F214" s="97"/>
      <c r="G214" s="97"/>
      <c r="H214" s="97"/>
      <c r="I214" s="97"/>
      <c r="J214" s="97">
        <v>5051216.04</v>
      </c>
      <c r="K214" s="97">
        <v>4286920.29</v>
      </c>
      <c r="L214" s="97"/>
    </row>
    <row r="215" spans="5:12" x14ac:dyDescent="0.25">
      <c r="E215" s="94" t="s">
        <v>147</v>
      </c>
      <c r="F215" s="97"/>
      <c r="G215" s="97"/>
      <c r="H215" s="97"/>
      <c r="I215" s="97"/>
      <c r="J215" s="97">
        <v>0</v>
      </c>
      <c r="K215" s="97">
        <v>0</v>
      </c>
      <c r="L215" s="97"/>
    </row>
    <row r="216" spans="5:12" x14ac:dyDescent="0.25">
      <c r="E216" s="94" t="s">
        <v>202</v>
      </c>
      <c r="F216" s="97"/>
      <c r="G216" s="97"/>
      <c r="H216" s="97"/>
      <c r="I216" s="97"/>
      <c r="J216" s="97">
        <v>0</v>
      </c>
      <c r="K216" s="97">
        <v>0</v>
      </c>
      <c r="L216" s="97"/>
    </row>
    <row r="217" spans="5:12" x14ac:dyDescent="0.25">
      <c r="E217" s="94" t="s">
        <v>203</v>
      </c>
      <c r="F217" s="97"/>
      <c r="G217" s="97"/>
      <c r="H217" s="97"/>
      <c r="I217" s="97"/>
      <c r="J217" s="97">
        <v>0</v>
      </c>
      <c r="K217" s="97">
        <v>0</v>
      </c>
      <c r="L217" s="97"/>
    </row>
    <row r="218" spans="5:12" x14ac:dyDescent="0.25">
      <c r="E218" s="94" t="s">
        <v>204</v>
      </c>
      <c r="F218" s="97"/>
      <c r="G218" s="97"/>
      <c r="H218" s="97"/>
      <c r="I218" s="97"/>
      <c r="J218" s="97">
        <v>89827.199999999997</v>
      </c>
      <c r="K218" s="97">
        <v>22189.16</v>
      </c>
      <c r="L218" s="97"/>
    </row>
    <row r="219" spans="5:12" x14ac:dyDescent="0.25">
      <c r="E219" s="94" t="s">
        <v>205</v>
      </c>
      <c r="F219" s="97"/>
      <c r="G219" s="97"/>
      <c r="H219" s="97"/>
      <c r="I219" s="97"/>
      <c r="J219" s="97">
        <v>0.05</v>
      </c>
      <c r="K219" s="97">
        <v>0.05</v>
      </c>
      <c r="L219" s="97"/>
    </row>
    <row r="220" spans="5:12" x14ac:dyDescent="0.25">
      <c r="E220" s="94" t="s">
        <v>206</v>
      </c>
      <c r="F220" s="97"/>
      <c r="G220" s="97"/>
      <c r="H220" s="97"/>
      <c r="I220" s="97"/>
      <c r="J220" s="97">
        <v>13519.15</v>
      </c>
      <c r="K220" s="97">
        <v>649.94000000000005</v>
      </c>
      <c r="L220" s="97"/>
    </row>
    <row r="221" spans="5:12" x14ac:dyDescent="0.25">
      <c r="E221" s="94" t="s">
        <v>207</v>
      </c>
      <c r="F221" s="97"/>
      <c r="G221" s="97"/>
      <c r="H221" s="97"/>
      <c r="I221" s="97"/>
      <c r="J221" s="97">
        <v>0</v>
      </c>
      <c r="K221" s="97">
        <v>0</v>
      </c>
      <c r="L221" s="97"/>
    </row>
    <row r="222" spans="5:12" x14ac:dyDescent="0.25">
      <c r="E222" s="94" t="s">
        <v>208</v>
      </c>
      <c r="F222" s="97">
        <v>641768.62</v>
      </c>
      <c r="G222" s="97">
        <v>2204949.2400000002</v>
      </c>
      <c r="H222" s="97">
        <v>1378886.34</v>
      </c>
      <c r="I222" s="97">
        <v>2137551.3199999998</v>
      </c>
      <c r="J222" s="97">
        <v>616447.98</v>
      </c>
      <c r="K222" s="97">
        <v>270013.74</v>
      </c>
      <c r="L222" s="97"/>
    </row>
    <row r="223" spans="5:12" x14ac:dyDescent="0.25">
      <c r="E223" s="94" t="s">
        <v>209</v>
      </c>
      <c r="F223" s="97"/>
      <c r="G223" s="97"/>
      <c r="H223" s="97"/>
      <c r="I223" s="97"/>
      <c r="J223" s="97">
        <v>0</v>
      </c>
      <c r="K223" s="97">
        <v>0</v>
      </c>
      <c r="L223" s="97"/>
    </row>
    <row r="224" spans="5:12" x14ac:dyDescent="0.25">
      <c r="E224" s="94" t="s">
        <v>135</v>
      </c>
      <c r="F224" s="97"/>
      <c r="G224" s="97"/>
      <c r="H224" s="97"/>
      <c r="I224" s="97"/>
      <c r="J224" s="97">
        <v>616447.98</v>
      </c>
      <c r="K224" s="97">
        <v>270013.74</v>
      </c>
      <c r="L224" s="97"/>
    </row>
    <row r="225" spans="5:12" x14ac:dyDescent="0.25">
      <c r="E225" s="94" t="s">
        <v>210</v>
      </c>
      <c r="F225" s="97"/>
      <c r="G225" s="97"/>
      <c r="H225" s="97"/>
      <c r="I225" s="97"/>
      <c r="J225" s="97">
        <v>0</v>
      </c>
      <c r="K225" s="97">
        <v>0</v>
      </c>
      <c r="L225" s="97"/>
    </row>
    <row r="226" spans="5:12" x14ac:dyDescent="0.25">
      <c r="E226" s="94" t="s">
        <v>211</v>
      </c>
      <c r="F226" s="97"/>
      <c r="G226" s="97"/>
      <c r="H226" s="97"/>
      <c r="I226" s="97"/>
      <c r="J226" s="97">
        <v>616447.98</v>
      </c>
      <c r="K226" s="97">
        <v>270013.74</v>
      </c>
      <c r="L226" s="97"/>
    </row>
    <row r="227" spans="5:12" x14ac:dyDescent="0.25">
      <c r="E227" s="94" t="s">
        <v>212</v>
      </c>
      <c r="F227" s="97">
        <v>1592609.84</v>
      </c>
      <c r="G227" s="97">
        <v>2651761.2200000002</v>
      </c>
      <c r="H227" s="97">
        <v>1899027.34</v>
      </c>
      <c r="I227" s="97">
        <v>2368541.13</v>
      </c>
      <c r="J227" s="97">
        <v>5930772.3700000001</v>
      </c>
      <c r="K227" s="97">
        <v>4716702.63</v>
      </c>
      <c r="L227" s="97"/>
    </row>
    <row r="228" spans="5:12" x14ac:dyDescent="0.25">
      <c r="E228" s="148" t="s">
        <v>213</v>
      </c>
      <c r="F228" s="97">
        <v>4204564.62</v>
      </c>
      <c r="G228" s="97">
        <v>4989876.7699999996</v>
      </c>
      <c r="H228" s="97">
        <v>5504742.4000000004</v>
      </c>
      <c r="I228" s="97">
        <v>4494022.03</v>
      </c>
      <c r="J228" s="97">
        <v>5743303.9100000001</v>
      </c>
      <c r="K228" s="97">
        <v>5046834.5999999996</v>
      </c>
      <c r="L228" s="97"/>
    </row>
    <row r="229" spans="5:12" x14ac:dyDescent="0.25">
      <c r="E229" s="94" t="s">
        <v>214</v>
      </c>
      <c r="F229" s="97"/>
      <c r="G229" s="97"/>
      <c r="H229" s="97"/>
      <c r="I229" s="97"/>
      <c r="J229" s="97">
        <v>0</v>
      </c>
      <c r="K229" s="97">
        <v>0</v>
      </c>
      <c r="L229" s="97"/>
    </row>
    <row r="230" spans="5:12" x14ac:dyDescent="0.25">
      <c r="E230" s="94" t="s">
        <v>215</v>
      </c>
      <c r="F230" s="97">
        <v>4204564.62</v>
      </c>
      <c r="G230" s="97">
        <v>4989876.7699999996</v>
      </c>
      <c r="H230" s="97">
        <v>5504742.4000000004</v>
      </c>
      <c r="I230" s="97">
        <v>4494022.03</v>
      </c>
      <c r="J230" s="97">
        <v>5740051.4699999997</v>
      </c>
      <c r="K230" s="97">
        <v>5044163.29</v>
      </c>
      <c r="L230" s="97"/>
    </row>
    <row r="231" spans="5:12" x14ac:dyDescent="0.25">
      <c r="E231" s="94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L231" s="97"/>
    </row>
    <row r="232" spans="5:12" x14ac:dyDescent="0.25">
      <c r="E232" s="94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L232" s="97"/>
    </row>
    <row r="233" spans="5:12" x14ac:dyDescent="0.25">
      <c r="E233" s="94" t="s">
        <v>218</v>
      </c>
      <c r="F233" s="97"/>
      <c r="G233" s="97"/>
      <c r="H233" s="97"/>
      <c r="I233" s="97"/>
      <c r="J233" s="97">
        <v>3252.44</v>
      </c>
      <c r="K233" s="97">
        <v>2671.31</v>
      </c>
      <c r="L233" s="97"/>
    </row>
    <row r="234" spans="5:12" x14ac:dyDescent="0.25">
      <c r="E234" s="94" t="s">
        <v>219</v>
      </c>
      <c r="F234" s="97">
        <v>3610963.25</v>
      </c>
      <c r="G234" s="97">
        <v>4986964.9000000004</v>
      </c>
      <c r="H234" s="97">
        <v>5497036.5099999998</v>
      </c>
      <c r="I234" s="97">
        <v>4697345.2</v>
      </c>
      <c r="J234" s="97">
        <v>5735094.96</v>
      </c>
      <c r="K234" s="97">
        <v>5013248.68</v>
      </c>
      <c r="L234" s="97"/>
    </row>
    <row r="235" spans="5:12" x14ac:dyDescent="0.25">
      <c r="E235" s="94" t="s">
        <v>220</v>
      </c>
      <c r="F235" s="97">
        <v>18121.400000000001</v>
      </c>
      <c r="G235" s="97">
        <v>20196.97</v>
      </c>
      <c r="H235" s="97">
        <v>29276.77</v>
      </c>
      <c r="I235" s="97">
        <v>25250.06</v>
      </c>
      <c r="J235" s="97">
        <v>38513.75</v>
      </c>
      <c r="K235" s="97">
        <v>20966.59</v>
      </c>
      <c r="L235" s="97"/>
    </row>
    <row r="236" spans="5:12" x14ac:dyDescent="0.25">
      <c r="E236" s="94" t="s">
        <v>221</v>
      </c>
      <c r="F236" s="97">
        <v>195275.43</v>
      </c>
      <c r="G236" s="97">
        <v>141447.63</v>
      </c>
      <c r="H236" s="97">
        <v>170411.3</v>
      </c>
      <c r="I236" s="97">
        <v>172379.42</v>
      </c>
      <c r="J236" s="97">
        <v>227080.78</v>
      </c>
      <c r="K236" s="97">
        <v>246139.68</v>
      </c>
      <c r="L236" s="97"/>
    </row>
    <row r="237" spans="5:12" x14ac:dyDescent="0.25">
      <c r="E237" s="94" t="s">
        <v>222</v>
      </c>
      <c r="F237" s="97">
        <v>1527841.12</v>
      </c>
      <c r="G237" s="97">
        <v>1004718.84</v>
      </c>
      <c r="H237" s="97">
        <v>870722.72</v>
      </c>
      <c r="I237" s="97">
        <v>445736.63</v>
      </c>
      <c r="J237" s="97">
        <v>818160.31</v>
      </c>
      <c r="K237" s="97">
        <v>692389.6</v>
      </c>
      <c r="L237" s="97"/>
    </row>
    <row r="238" spans="5:12" x14ac:dyDescent="0.25">
      <c r="E238" s="94" t="s">
        <v>223</v>
      </c>
      <c r="F238" s="97"/>
      <c r="G238" s="97"/>
      <c r="H238" s="97"/>
      <c r="I238" s="97"/>
      <c r="J238" s="97">
        <v>12456.5</v>
      </c>
      <c r="K238" s="97">
        <v>11328.38</v>
      </c>
      <c r="L238" s="97"/>
    </row>
    <row r="239" spans="5:12" x14ac:dyDescent="0.25">
      <c r="E239" s="94" t="s">
        <v>224</v>
      </c>
      <c r="F239" s="97"/>
      <c r="G239" s="97"/>
      <c r="H239" s="97"/>
      <c r="I239" s="97"/>
      <c r="J239" s="97">
        <v>0</v>
      </c>
      <c r="K239" s="97">
        <v>0</v>
      </c>
      <c r="L239" s="97"/>
    </row>
    <row r="240" spans="5:12" x14ac:dyDescent="0.25">
      <c r="E240" s="94" t="s">
        <v>225</v>
      </c>
      <c r="F240" s="97">
        <v>1261683.1299999999</v>
      </c>
      <c r="G240" s="97">
        <v>993499.83</v>
      </c>
      <c r="H240" s="97">
        <v>1300500.4099999999</v>
      </c>
      <c r="I240" s="97">
        <v>1226923.71</v>
      </c>
      <c r="J240" s="97">
        <v>1063025.07</v>
      </c>
      <c r="K240" s="97">
        <v>962079.94</v>
      </c>
      <c r="L240" s="97"/>
    </row>
    <row r="241" spans="5:12" x14ac:dyDescent="0.25">
      <c r="E241" s="94" t="s">
        <v>226</v>
      </c>
      <c r="F241" s="97">
        <v>128929.65</v>
      </c>
      <c r="G241" s="97">
        <v>134565.20000000001</v>
      </c>
      <c r="H241" s="97">
        <v>228136.4</v>
      </c>
      <c r="I241" s="97">
        <v>136272.39000000001</v>
      </c>
      <c r="J241" s="97">
        <v>211246.82</v>
      </c>
      <c r="K241" s="97">
        <v>289081.32</v>
      </c>
      <c r="L241" s="97"/>
    </row>
    <row r="242" spans="5:12" x14ac:dyDescent="0.25">
      <c r="E242" s="94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L242" s="97"/>
    </row>
    <row r="243" spans="5:12" x14ac:dyDescent="0.25">
      <c r="E243" s="94" t="s">
        <v>228</v>
      </c>
      <c r="F243" s="97">
        <v>479112.52</v>
      </c>
      <c r="G243" s="97">
        <v>2692536.43</v>
      </c>
      <c r="H243" s="97">
        <v>2897988.91</v>
      </c>
      <c r="I243" s="97">
        <v>2690782.99</v>
      </c>
      <c r="J243" s="97">
        <v>3364611.73</v>
      </c>
      <c r="K243" s="97">
        <v>2791263.17</v>
      </c>
      <c r="L243" s="97"/>
    </row>
    <row r="244" spans="5:12" x14ac:dyDescent="0.25">
      <c r="E244" s="94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L244" s="97"/>
    </row>
    <row r="245" spans="5:12" x14ac:dyDescent="0.25">
      <c r="E245" s="94" t="s">
        <v>230</v>
      </c>
      <c r="F245" s="97">
        <v>593601.37</v>
      </c>
      <c r="G245" s="97">
        <v>2911.87</v>
      </c>
      <c r="H245" s="97">
        <v>7705.89</v>
      </c>
      <c r="I245" s="97">
        <v>-203323.17</v>
      </c>
      <c r="J245" s="97">
        <v>8208.9500000000007</v>
      </c>
      <c r="K245" s="97">
        <v>33585.919999999998</v>
      </c>
      <c r="L245" s="97"/>
    </row>
    <row r="246" spans="5:12" x14ac:dyDescent="0.25">
      <c r="E246" s="94" t="s">
        <v>231</v>
      </c>
      <c r="F246" s="97">
        <v>2.83</v>
      </c>
      <c r="G246" s="97">
        <v>40993.120000000003</v>
      </c>
      <c r="H246" s="97">
        <v>38102.71</v>
      </c>
      <c r="I246" s="97">
        <v>270991.64</v>
      </c>
      <c r="J246" s="97">
        <v>14628</v>
      </c>
      <c r="K246" s="97">
        <v>46040.639999999999</v>
      </c>
      <c r="L246" s="97"/>
    </row>
    <row r="247" spans="5:12" x14ac:dyDescent="0.25">
      <c r="E247" s="94" t="s">
        <v>232</v>
      </c>
      <c r="F247" s="97"/>
      <c r="G247" s="97"/>
      <c r="H247" s="97"/>
      <c r="I247" s="97"/>
      <c r="J247" s="97">
        <v>0</v>
      </c>
      <c r="K247" s="97">
        <v>0</v>
      </c>
      <c r="L247" s="97"/>
    </row>
    <row r="248" spans="5:12" x14ac:dyDescent="0.25">
      <c r="E248" s="104" t="s">
        <v>233</v>
      </c>
      <c r="F248" s="97"/>
      <c r="G248" s="97"/>
      <c r="H248" s="97"/>
      <c r="I248" s="97"/>
      <c r="J248" s="97">
        <v>14567.86</v>
      </c>
      <c r="K248" s="97">
        <v>46035.37</v>
      </c>
      <c r="L248" s="97"/>
    </row>
    <row r="249" spans="5:12" x14ac:dyDescent="0.25">
      <c r="E249" s="94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L249" s="97"/>
    </row>
    <row r="250" spans="5:12" x14ac:dyDescent="0.25">
      <c r="E250" s="94" t="s">
        <v>235</v>
      </c>
      <c r="F250" s="97"/>
      <c r="G250" s="97"/>
      <c r="H250" s="97"/>
      <c r="I250" s="97"/>
      <c r="J250" s="97">
        <v>60.14</v>
      </c>
      <c r="K250" s="97">
        <v>5.27</v>
      </c>
      <c r="L250" s="97"/>
    </row>
    <row r="251" spans="5:12" x14ac:dyDescent="0.25">
      <c r="E251" s="94" t="s">
        <v>236</v>
      </c>
      <c r="F251" s="97">
        <v>2401.8200000000002</v>
      </c>
      <c r="G251" s="97">
        <v>1226.21</v>
      </c>
      <c r="H251" s="97">
        <v>139.37</v>
      </c>
      <c r="I251" s="97">
        <v>13843.22</v>
      </c>
      <c r="J251" s="97">
        <v>4.45</v>
      </c>
      <c r="K251" s="97">
        <v>1.53</v>
      </c>
      <c r="L251" s="97"/>
    </row>
    <row r="252" spans="5:12" x14ac:dyDescent="0.25">
      <c r="E252" s="94" t="s">
        <v>237</v>
      </c>
      <c r="F252" s="97"/>
      <c r="G252" s="97"/>
      <c r="H252" s="97"/>
      <c r="I252" s="97"/>
      <c r="J252" s="97">
        <v>0</v>
      </c>
      <c r="K252" s="97">
        <v>0</v>
      </c>
      <c r="L252" s="97"/>
    </row>
    <row r="253" spans="5:12" x14ac:dyDescent="0.25">
      <c r="E253" s="94" t="s">
        <v>238</v>
      </c>
      <c r="F253" s="97"/>
      <c r="G253" s="97"/>
      <c r="H253" s="97"/>
      <c r="I253" s="97"/>
      <c r="J253" s="97">
        <v>0</v>
      </c>
      <c r="K253" s="97">
        <v>0</v>
      </c>
      <c r="L253" s="97"/>
    </row>
    <row r="254" spans="5:12" x14ac:dyDescent="0.25">
      <c r="E254" s="94" t="s">
        <v>239</v>
      </c>
      <c r="F254" s="97"/>
      <c r="G254" s="97"/>
      <c r="H254" s="97"/>
      <c r="I254" s="97"/>
      <c r="J254" s="97">
        <v>4.45</v>
      </c>
      <c r="K254" s="97">
        <v>1.53</v>
      </c>
      <c r="L254" s="97"/>
    </row>
    <row r="255" spans="5:12" x14ac:dyDescent="0.25">
      <c r="E255" s="94" t="s">
        <v>240</v>
      </c>
      <c r="F255" s="97"/>
      <c r="G255" s="97"/>
      <c r="H255" s="97"/>
      <c r="I255" s="97"/>
      <c r="J255" s="97">
        <v>22832.5</v>
      </c>
      <c r="K255" s="97">
        <v>79625.03</v>
      </c>
      <c r="L255" s="97"/>
    </row>
    <row r="256" spans="5:12" x14ac:dyDescent="0.25">
      <c r="E256" s="94" t="s">
        <v>241</v>
      </c>
      <c r="F256" s="97">
        <v>15861.58</v>
      </c>
      <c r="G256" s="97">
        <v>13616.13</v>
      </c>
      <c r="H256" s="97">
        <v>14</v>
      </c>
      <c r="I256" s="97">
        <v>300</v>
      </c>
      <c r="J256" s="97">
        <v>0</v>
      </c>
      <c r="K256" s="97">
        <v>0</v>
      </c>
      <c r="L256" s="97"/>
    </row>
    <row r="257" spans="5:12" x14ac:dyDescent="0.25">
      <c r="E257" s="94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</row>
    <row r="258" spans="5:12" x14ac:dyDescent="0.25">
      <c r="E258" s="94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L258" s="97"/>
    </row>
    <row r="259" spans="5:12" x14ac:dyDescent="0.25">
      <c r="E259" s="94" t="s">
        <v>244</v>
      </c>
      <c r="F259" s="97"/>
      <c r="G259" s="97"/>
      <c r="H259" s="97"/>
      <c r="I259" s="97"/>
      <c r="J259" s="97">
        <v>0</v>
      </c>
      <c r="K259" s="97">
        <v>0</v>
      </c>
      <c r="L259" s="97"/>
    </row>
    <row r="260" spans="5:12" x14ac:dyDescent="0.25">
      <c r="E260" s="94" t="s">
        <v>245</v>
      </c>
      <c r="F260" s="97"/>
      <c r="G260" s="97"/>
      <c r="H260" s="97"/>
      <c r="I260" s="97"/>
      <c r="J260" s="97">
        <v>0</v>
      </c>
      <c r="K260" s="97">
        <v>0</v>
      </c>
      <c r="L260" s="97"/>
    </row>
    <row r="261" spans="5:12" x14ac:dyDescent="0.25">
      <c r="E261" s="94" t="s">
        <v>244</v>
      </c>
      <c r="F261" s="97"/>
      <c r="G261" s="97"/>
      <c r="H261" s="97"/>
      <c r="I261" s="97"/>
      <c r="J261" s="97">
        <v>0</v>
      </c>
      <c r="K261" s="97">
        <v>0</v>
      </c>
      <c r="L261" s="97"/>
    </row>
    <row r="262" spans="5:12" x14ac:dyDescent="0.25">
      <c r="E262" s="94" t="s">
        <v>246</v>
      </c>
      <c r="F262" s="97">
        <v>15846.58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L262" s="97"/>
    </row>
    <row r="263" spans="5:12" x14ac:dyDescent="0.25">
      <c r="E263" s="94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L263" s="97"/>
    </row>
    <row r="264" spans="5:12" x14ac:dyDescent="0.25">
      <c r="E264" s="94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L264" s="97"/>
    </row>
    <row r="265" spans="5:12" x14ac:dyDescent="0.25">
      <c r="E265" s="94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L265" s="97"/>
    </row>
    <row r="266" spans="5:12" x14ac:dyDescent="0.25">
      <c r="E266" s="94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L266" s="97"/>
    </row>
    <row r="267" spans="5:12" x14ac:dyDescent="0.25">
      <c r="E267" s="94" t="s">
        <v>251</v>
      </c>
      <c r="F267" s="97"/>
      <c r="G267" s="97"/>
      <c r="H267" s="97"/>
      <c r="I267" s="97"/>
      <c r="J267" s="97">
        <v>0</v>
      </c>
      <c r="K267" s="97">
        <v>0</v>
      </c>
      <c r="L267" s="97"/>
    </row>
    <row r="268" spans="5:12" x14ac:dyDescent="0.25">
      <c r="E268" s="94" t="s">
        <v>252</v>
      </c>
      <c r="F268" s="97">
        <v>31548.16</v>
      </c>
      <c r="G268" s="97">
        <v>5533.09</v>
      </c>
      <c r="H268" s="97">
        <v>6040.41</v>
      </c>
      <c r="I268" s="97">
        <v>8235.3799999999992</v>
      </c>
      <c r="J268" s="97">
        <v>0</v>
      </c>
      <c r="K268" s="97">
        <v>56.31</v>
      </c>
      <c r="L268" s="97"/>
    </row>
    <row r="269" spans="5:12" x14ac:dyDescent="0.25">
      <c r="E269" s="94" t="s">
        <v>253</v>
      </c>
      <c r="F269" s="97">
        <v>0</v>
      </c>
      <c r="G269" s="97">
        <v>0</v>
      </c>
      <c r="H269" s="97">
        <v>0</v>
      </c>
      <c r="I269" s="97">
        <v>1806.28</v>
      </c>
      <c r="J269" s="97">
        <v>0</v>
      </c>
      <c r="K269" s="97">
        <v>56.31</v>
      </c>
      <c r="L269" s="97"/>
    </row>
    <row r="270" spans="5:12" x14ac:dyDescent="0.25">
      <c r="E270" s="94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L270" s="97"/>
    </row>
    <row r="271" spans="5:12" x14ac:dyDescent="0.25">
      <c r="E271" s="94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L271" s="97"/>
    </row>
    <row r="272" spans="5:12" x14ac:dyDescent="0.25">
      <c r="E272" s="94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L272" s="97"/>
    </row>
    <row r="273" spans="5:12" x14ac:dyDescent="0.25">
      <c r="E273" s="94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L273" s="97"/>
    </row>
    <row r="274" spans="5:12" x14ac:dyDescent="0.25">
      <c r="E274" s="94" t="s">
        <v>257</v>
      </c>
      <c r="F274" s="97"/>
      <c r="G274" s="97"/>
      <c r="H274" s="97"/>
      <c r="I274" s="97"/>
      <c r="J274" s="97">
        <v>0</v>
      </c>
      <c r="K274" s="97">
        <v>0</v>
      </c>
      <c r="L274" s="97"/>
    </row>
    <row r="275" spans="5:12" x14ac:dyDescent="0.25">
      <c r="E275" s="94" t="s">
        <v>258</v>
      </c>
      <c r="F275" s="97">
        <v>575515.80000000005</v>
      </c>
      <c r="G275" s="97">
        <v>50761.82</v>
      </c>
      <c r="H275" s="97">
        <v>39642.82</v>
      </c>
      <c r="I275" s="97">
        <v>45889.87</v>
      </c>
      <c r="J275" s="97">
        <v>22832.5</v>
      </c>
      <c r="K275" s="97">
        <v>79568.72</v>
      </c>
      <c r="L275" s="97"/>
    </row>
    <row r="276" spans="5:12" x14ac:dyDescent="0.25">
      <c r="E276" s="94" t="s">
        <v>259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>
        <v>0</v>
      </c>
      <c r="L276" s="97"/>
    </row>
    <row r="277" spans="5:12" x14ac:dyDescent="0.25">
      <c r="E277" s="94" t="s">
        <v>260</v>
      </c>
      <c r="F277" s="97"/>
      <c r="G277" s="97"/>
      <c r="H277" s="97"/>
      <c r="I277" s="97"/>
      <c r="J277" s="97">
        <v>0</v>
      </c>
      <c r="K277" s="97">
        <v>0</v>
      </c>
      <c r="L277" s="97"/>
    </row>
    <row r="278" spans="5:12" x14ac:dyDescent="0.25">
      <c r="E278" s="94" t="s">
        <v>261</v>
      </c>
      <c r="F278" s="97">
        <v>575515.80000000005</v>
      </c>
      <c r="G278" s="97">
        <v>50761.82</v>
      </c>
      <c r="H278" s="97">
        <v>39642.82</v>
      </c>
      <c r="I278" s="97">
        <v>45889.87</v>
      </c>
      <c r="J278" s="97">
        <v>22832.5</v>
      </c>
      <c r="K278" s="97">
        <v>79568.72</v>
      </c>
      <c r="L278" s="97"/>
    </row>
    <row r="279" spans="5:12" x14ac:dyDescent="0.25">
      <c r="F279" s="97"/>
      <c r="G279" s="97"/>
      <c r="H279" s="97"/>
      <c r="I279" s="97"/>
      <c r="J279" s="97"/>
      <c r="K279" s="97"/>
      <c r="L279" s="97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1AEAE-69C6-463C-A5B9-E0A7FB33FF2D}">
  <sheetPr>
    <tabColor theme="4" tint="0.79998168889431442"/>
  </sheetPr>
  <dimension ref="A1:L177"/>
  <sheetViews>
    <sheetView topLeftCell="A130" workbookViewId="0">
      <selection sqref="A1:L154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408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0.96730333955328263</v>
      </c>
      <c r="B4" s="139">
        <f>MAX(F4:K4)</f>
        <v>5.6346426037793949</v>
      </c>
      <c r="C4" s="155">
        <f>AVERAGE(F4:K4)</f>
        <v>3.6798138664400799</v>
      </c>
      <c r="D4" s="156">
        <f>MEDIAN(F4:K4)</f>
        <v>4.328104287756962</v>
      </c>
      <c r="E4" s="47" t="s">
        <v>364</v>
      </c>
      <c r="F4" s="71">
        <f>SUM(F9:F12)/SUM(F13:F15)</f>
        <v>0.96730333955328263</v>
      </c>
      <c r="G4" s="71">
        <f t="shared" ref="G4:K4" si="0">SUM(G9:G12)/SUM(G13:G15)</f>
        <v>5.1865196444195023</v>
      </c>
      <c r="H4" s="71">
        <f t="shared" si="0"/>
        <v>1.6342090353743761</v>
      </c>
      <c r="I4" s="71">
        <f t="shared" si="0"/>
        <v>4.6739584691564637</v>
      </c>
      <c r="J4" s="71">
        <f t="shared" si="0"/>
        <v>3.9822501063574607</v>
      </c>
      <c r="K4" s="71">
        <f t="shared" si="0"/>
        <v>5.6346426037793949</v>
      </c>
    </row>
    <row r="5" spans="1:11" x14ac:dyDescent="0.25">
      <c r="A5" s="139">
        <f t="shared" ref="A5:A7" si="1">MIN(F5:K5)</f>
        <v>1.5889478066445162</v>
      </c>
      <c r="B5" s="139">
        <f t="shared" ref="B5:B7" si="2">MAX(F5:K5)</f>
        <v>5.6346426037793949</v>
      </c>
      <c r="C5" s="155">
        <f t="shared" ref="C5:C7" si="3">AVERAGEIF(F5:K5,"&gt;0")</f>
        <v>3.7834212776219522</v>
      </c>
      <c r="D5" s="156">
        <f t="shared" ref="D5:D7" si="4">_xlfn.AGGREGATE(12,6,F5:K5)</f>
        <v>4.328104287756962</v>
      </c>
      <c r="E5" s="47" t="s">
        <v>363</v>
      </c>
      <c r="F5" s="71">
        <f t="shared" ref="F5:K5" si="5">SUM(F9:F12)/F14</f>
        <v>1.5889478066445162</v>
      </c>
      <c r="G5" s="71">
        <f t="shared" si="5"/>
        <v>5.1865196444195023</v>
      </c>
      <c r="H5" s="71">
        <f t="shared" si="5"/>
        <v>1.6342090353743761</v>
      </c>
      <c r="I5" s="71">
        <f t="shared" si="5"/>
        <v>4.6739584691564637</v>
      </c>
      <c r="J5" s="71">
        <f t="shared" si="5"/>
        <v>3.9822501063574607</v>
      </c>
      <c r="K5" s="71">
        <f t="shared" si="5"/>
        <v>5.6346426037793949</v>
      </c>
    </row>
    <row r="6" spans="1:11" x14ac:dyDescent="0.25">
      <c r="A6" s="139">
        <f t="shared" si="1"/>
        <v>0.85189226794109185</v>
      </c>
      <c r="B6" s="139">
        <f t="shared" si="2"/>
        <v>3.5066716931530988</v>
      </c>
      <c r="C6" s="155">
        <f t="shared" si="3"/>
        <v>2.3344193887322393</v>
      </c>
      <c r="D6" s="156">
        <f t="shared" si="4"/>
        <v>2.4244715564184425</v>
      </c>
      <c r="E6" s="47" t="s">
        <v>365</v>
      </c>
      <c r="F6" s="71">
        <f t="shared" ref="F6:K6" si="6">SUM(F10:F11)/F14</f>
        <v>1.3365475708506958</v>
      </c>
      <c r="G6" s="71">
        <f t="shared" si="6"/>
        <v>3.5066716931530988</v>
      </c>
      <c r="H6" s="71">
        <f t="shared" si="6"/>
        <v>0.85189226794109185</v>
      </c>
      <c r="I6" s="71">
        <f t="shared" si="6"/>
        <v>3.4624616876116638</v>
      </c>
      <c r="J6" s="71">
        <f t="shared" si="6"/>
        <v>2.2523942367491157</v>
      </c>
      <c r="K6" s="71">
        <f t="shared" si="6"/>
        <v>2.5965488760877689</v>
      </c>
    </row>
    <row r="7" spans="1:11" ht="13.8" thickBot="1" x14ac:dyDescent="0.3">
      <c r="A7" s="139">
        <f t="shared" si="1"/>
        <v>0.48613837228818785</v>
      </c>
      <c r="B7" s="139">
        <f t="shared" si="2"/>
        <v>2.5358946328456051</v>
      </c>
      <c r="C7" s="155">
        <f t="shared" si="3"/>
        <v>1.5168767098472682</v>
      </c>
      <c r="D7" s="156">
        <f t="shared" si="4"/>
        <v>1.7999168272838584</v>
      </c>
      <c r="E7" s="49" t="s">
        <v>366</v>
      </c>
      <c r="F7" s="73">
        <f t="shared" ref="F7:K7" si="7">F11/F14</f>
        <v>0.58893748619538344</v>
      </c>
      <c r="G7" s="73">
        <f t="shared" si="7"/>
        <v>1.776190605556401</v>
      </c>
      <c r="H7" s="73">
        <f t="shared" si="7"/>
        <v>0.48613837228818785</v>
      </c>
      <c r="I7" s="73">
        <f t="shared" si="7"/>
        <v>2.5358946328456051</v>
      </c>
      <c r="J7" s="73">
        <f t="shared" si="7"/>
        <v>1.890456113186715</v>
      </c>
      <c r="K7" s="73">
        <f t="shared" si="7"/>
        <v>1.823643049011316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F95</f>
        <v>59084.11</v>
      </c>
      <c r="G9" s="76">
        <f t="shared" ref="G9:K9" si="8">G95</f>
        <v>176423.81</v>
      </c>
      <c r="H9" s="76">
        <f t="shared" si="8"/>
        <v>143952.47</v>
      </c>
      <c r="I9" s="76">
        <f t="shared" si="8"/>
        <v>221190.27</v>
      </c>
      <c r="J9" s="76">
        <f t="shared" si="8"/>
        <v>205935.16</v>
      </c>
      <c r="K9" s="76">
        <f t="shared" si="8"/>
        <v>109097.73</v>
      </c>
    </row>
    <row r="10" spans="1:11" x14ac:dyDescent="0.25">
      <c r="E10" s="43" t="s">
        <v>288</v>
      </c>
      <c r="F10" s="76">
        <f>F96</f>
        <v>183996.79999999999</v>
      </c>
      <c r="G10" s="76">
        <f t="shared" ref="G10:K10" si="9">G96</f>
        <v>185998.96</v>
      </c>
      <c r="H10" s="76">
        <f t="shared" si="9"/>
        <v>69166.600000000006</v>
      </c>
      <c r="I10" s="76">
        <f t="shared" si="9"/>
        <v>174881.35</v>
      </c>
      <c r="J10" s="76">
        <f t="shared" si="9"/>
        <v>53053.31</v>
      </c>
      <c r="K10" s="76">
        <f t="shared" si="9"/>
        <v>38208.53</v>
      </c>
    </row>
    <row r="11" spans="1:11" x14ac:dyDescent="0.25">
      <c r="E11" s="43" t="s">
        <v>287</v>
      </c>
      <c r="F11" s="76">
        <f>F98</f>
        <v>144945.35999999999</v>
      </c>
      <c r="G11" s="76">
        <f t="shared" ref="G11:K11" si="10">G98</f>
        <v>190912</v>
      </c>
      <c r="H11" s="76">
        <f t="shared" si="10"/>
        <v>91932.14</v>
      </c>
      <c r="I11" s="76">
        <f t="shared" si="10"/>
        <v>478627.72</v>
      </c>
      <c r="J11" s="76">
        <f t="shared" si="10"/>
        <v>277105.25</v>
      </c>
      <c r="K11" s="76">
        <f t="shared" si="10"/>
        <v>90151.63</v>
      </c>
    </row>
    <row r="12" spans="1:11" x14ac:dyDescent="0.25">
      <c r="E12" s="43" t="s">
        <v>290</v>
      </c>
      <c r="F12" s="76">
        <f>F101</f>
        <v>3034.95</v>
      </c>
      <c r="G12" s="76">
        <f t="shared" ref="G12:K12" si="11">G101</f>
        <v>4132.8999999999996</v>
      </c>
      <c r="H12" s="76">
        <f t="shared" si="11"/>
        <v>3989.06</v>
      </c>
      <c r="I12" s="76">
        <f t="shared" si="11"/>
        <v>7469.05</v>
      </c>
      <c r="J12" s="76">
        <f t="shared" si="11"/>
        <v>47629.120000000003</v>
      </c>
      <c r="K12" s="76">
        <f t="shared" si="11"/>
        <v>41090.160000000003</v>
      </c>
    </row>
    <row r="13" spans="1:11" x14ac:dyDescent="0.25">
      <c r="E13" s="43" t="s">
        <v>310</v>
      </c>
      <c r="F13" s="76">
        <f>F116</f>
        <v>0</v>
      </c>
      <c r="G13" s="76">
        <f t="shared" ref="G13:K13" si="12">G116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F118</f>
        <v>246113.32</v>
      </c>
      <c r="G14" s="76">
        <f t="shared" ref="G14:K14" si="13">G118</f>
        <v>107483.96</v>
      </c>
      <c r="H14" s="76">
        <f t="shared" si="13"/>
        <v>189106.94</v>
      </c>
      <c r="I14" s="76">
        <f t="shared" si="13"/>
        <v>188741.17</v>
      </c>
      <c r="J14" s="76">
        <f t="shared" si="13"/>
        <v>146581.16</v>
      </c>
      <c r="K14" s="76">
        <f t="shared" si="13"/>
        <v>49434.91</v>
      </c>
    </row>
    <row r="15" spans="1:11" x14ac:dyDescent="0.25">
      <c r="E15" s="43" t="s">
        <v>362</v>
      </c>
      <c r="F15" s="76">
        <f>F119</f>
        <v>158166.5</v>
      </c>
      <c r="G15" s="76">
        <f t="shared" ref="G15:K15" si="14">G119</f>
        <v>0</v>
      </c>
      <c r="H15" s="76">
        <f t="shared" si="14"/>
        <v>0</v>
      </c>
      <c r="I15" s="76">
        <f t="shared" si="14"/>
        <v>0</v>
      </c>
      <c r="J15" s="76">
        <f t="shared" si="14"/>
        <v>0</v>
      </c>
      <c r="K15" s="76">
        <f t="shared" si="14"/>
        <v>0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12.544538844744441</v>
      </c>
      <c r="B19" s="152">
        <f t="shared" ref="B19:B25" si="16">MAX(F19:K19)</f>
        <v>59.361467911118368</v>
      </c>
      <c r="C19" s="156">
        <f>AVERAGE(F19:K19)</f>
        <v>35.302513002503737</v>
      </c>
      <c r="D19" s="156">
        <f>MEDIAN(F19:K19)</f>
        <v>37.467194201999682</v>
      </c>
      <c r="E19" s="47" t="s">
        <v>293</v>
      </c>
      <c r="F19" s="71">
        <f>F28/(F27/365)</f>
        <v>52.124106707197718</v>
      </c>
      <c r="G19" s="71">
        <f t="shared" ref="G19:K19" si="17">G28/(G27/365)</f>
        <v>48.944065286225786</v>
      </c>
      <c r="H19" s="71">
        <f t="shared" si="17"/>
        <v>25.990323117773581</v>
      </c>
      <c r="I19" s="71">
        <f t="shared" si="17"/>
        <v>59.361467911118368</v>
      </c>
      <c r="J19" s="71">
        <f t="shared" si="17"/>
        <v>12.85057614796251</v>
      </c>
      <c r="K19" s="71">
        <f t="shared" si="17"/>
        <v>12.544538844744441</v>
      </c>
    </row>
    <row r="20" spans="1:11" x14ac:dyDescent="0.25">
      <c r="A20" s="152">
        <f t="shared" si="15"/>
        <v>16.737826170562794</v>
      </c>
      <c r="B20" s="152">
        <f t="shared" si="16"/>
        <v>75.080499520712792</v>
      </c>
      <c r="C20" s="156">
        <f t="shared" ref="C20:C25" si="18">AVERAGE(F20:K20)</f>
        <v>46.339214368426035</v>
      </c>
      <c r="D20" s="156">
        <f t="shared" ref="D20:D25" si="19">MEDIAN(F20:K20)</f>
        <v>48.153036288623383</v>
      </c>
      <c r="E20" s="121" t="s">
        <v>367</v>
      </c>
      <c r="F20" s="71">
        <f>F29/(F27/365)</f>
        <v>16.737826170562794</v>
      </c>
      <c r="G20" s="71">
        <f t="shared" ref="G20:K20" si="20">G29/(G27/365)</f>
        <v>46.424444925308691</v>
      </c>
      <c r="H20" s="71">
        <f t="shared" si="20"/>
        <v>54.092166000665173</v>
      </c>
      <c r="I20" s="71">
        <f t="shared" si="20"/>
        <v>75.080499520712792</v>
      </c>
      <c r="J20" s="71">
        <f t="shared" si="20"/>
        <v>49.881627651938082</v>
      </c>
      <c r="K20" s="71">
        <f t="shared" si="20"/>
        <v>35.818721941368615</v>
      </c>
    </row>
    <row r="21" spans="1:11" x14ac:dyDescent="0.25">
      <c r="A21" s="152">
        <f t="shared" si="15"/>
        <v>16.2303587387802</v>
      </c>
      <c r="B21" s="152">
        <f t="shared" si="16"/>
        <v>71.059593422452764</v>
      </c>
      <c r="C21" s="156">
        <f t="shared" si="18"/>
        <v>47.477559252329776</v>
      </c>
      <c r="D21" s="156">
        <f t="shared" si="19"/>
        <v>49.785461385077824</v>
      </c>
      <c r="E21" s="47" t="s">
        <v>368</v>
      </c>
      <c r="F21" s="71">
        <f>F30/(F27/365)</f>
        <v>69.720978591707578</v>
      </c>
      <c r="G21" s="71">
        <f t="shared" ref="G21:K21" si="21">G30/(G27/365)</f>
        <v>28.283501990882538</v>
      </c>
      <c r="H21" s="71">
        <f t="shared" si="21"/>
        <v>71.059593422452764</v>
      </c>
      <c r="I21" s="71">
        <f t="shared" si="21"/>
        <v>64.066024801740937</v>
      </c>
      <c r="J21" s="71">
        <f t="shared" si="21"/>
        <v>35.504897968414717</v>
      </c>
      <c r="K21" s="71">
        <f t="shared" si="21"/>
        <v>16.2303587387802</v>
      </c>
    </row>
    <row r="22" spans="1:11" x14ac:dyDescent="0.25">
      <c r="A22" s="152">
        <f t="shared" si="15"/>
        <v>-0.85904571394706863</v>
      </c>
      <c r="B22" s="152">
        <f t="shared" si="16"/>
        <v>70.375942630090222</v>
      </c>
      <c r="C22" s="156">
        <f t="shared" si="18"/>
        <v>34.164168118599967</v>
      </c>
      <c r="D22" s="156">
        <f t="shared" si="19"/>
        <v>29.680103939409367</v>
      </c>
      <c r="E22" s="47" t="s">
        <v>294</v>
      </c>
      <c r="F22" s="71">
        <f>F19+F20-F21</f>
        <v>-0.85904571394706863</v>
      </c>
      <c r="G22" s="71">
        <f t="shared" ref="G22:K22" si="22">G19+G20-G21</f>
        <v>67.085008220651929</v>
      </c>
      <c r="H22" s="71">
        <f t="shared" si="22"/>
        <v>9.0228956959859943</v>
      </c>
      <c r="I22" s="71">
        <f t="shared" si="22"/>
        <v>70.375942630090222</v>
      </c>
      <c r="J22" s="71">
        <f t="shared" si="22"/>
        <v>27.227305831485872</v>
      </c>
      <c r="K22" s="71">
        <f t="shared" si="22"/>
        <v>32.132902047332863</v>
      </c>
    </row>
    <row r="23" spans="1:11" x14ac:dyDescent="0.25">
      <c r="A23" s="152">
        <f t="shared" si="15"/>
        <v>0.9667469678045495</v>
      </c>
      <c r="B23" s="152">
        <f t="shared" si="16"/>
        <v>2.1336037135327386</v>
      </c>
      <c r="C23" s="156">
        <f t="shared" si="18"/>
        <v>1.4351763139442595</v>
      </c>
      <c r="D23" s="156">
        <f t="shared" si="19"/>
        <v>1.2816407920406245</v>
      </c>
      <c r="E23" s="47" t="s">
        <v>295</v>
      </c>
      <c r="F23" s="71">
        <f>F27/F31</f>
        <v>1.2567323684482994</v>
      </c>
      <c r="G23" s="71">
        <f t="shared" ref="G23:K23" si="23">G27/G31</f>
        <v>1.3065492156329499</v>
      </c>
      <c r="H23" s="71">
        <f t="shared" si="23"/>
        <v>1.0499078893134333</v>
      </c>
      <c r="I23" s="71">
        <f t="shared" si="23"/>
        <v>0.9667469678045495</v>
      </c>
      <c r="J23" s="71">
        <f t="shared" si="23"/>
        <v>1.8975177289335869</v>
      </c>
      <c r="K23" s="71">
        <f t="shared" si="23"/>
        <v>2.1336037135327386</v>
      </c>
    </row>
    <row r="24" spans="1:11" x14ac:dyDescent="0.25">
      <c r="A24" s="152">
        <f t="shared" si="15"/>
        <v>1.5765150884268841</v>
      </c>
      <c r="B24" s="152">
        <f t="shared" si="16"/>
        <v>7.1614706159953156</v>
      </c>
      <c r="C24" s="156">
        <f t="shared" si="18"/>
        <v>3.7963172093556516</v>
      </c>
      <c r="D24" s="156">
        <f t="shared" si="19"/>
        <v>3.6677484008467705</v>
      </c>
      <c r="E24" s="121" t="s">
        <v>369</v>
      </c>
      <c r="F24" s="71">
        <f>F27/F32</f>
        <v>2.0316972870969416</v>
      </c>
      <c r="G24" s="71">
        <f t="shared" ref="G24:K24" si="24">G27/G32</f>
        <v>2.7512098276573891</v>
      </c>
      <c r="H24" s="71">
        <f t="shared" si="24"/>
        <v>1.5765150884268841</v>
      </c>
      <c r="I24" s="71">
        <f t="shared" si="24"/>
        <v>4.6727234629212289</v>
      </c>
      <c r="J24" s="71">
        <f t="shared" si="24"/>
        <v>7.1614706159953156</v>
      </c>
      <c r="K24" s="71">
        <f t="shared" si="24"/>
        <v>4.5842869740361518</v>
      </c>
    </row>
    <row r="25" spans="1:11" ht="13.8" thickBot="1" x14ac:dyDescent="0.3">
      <c r="A25" s="152">
        <f t="shared" si="15"/>
        <v>1.2189341311583379</v>
      </c>
      <c r="B25" s="152">
        <f t="shared" si="16"/>
        <v>3.9911529447073857</v>
      </c>
      <c r="C25" s="156">
        <f t="shared" si="18"/>
        <v>2.7862769973178421</v>
      </c>
      <c r="D25" s="156">
        <f t="shared" si="19"/>
        <v>2.86232739660253</v>
      </c>
      <c r="E25" s="49" t="s">
        <v>296</v>
      </c>
      <c r="F25" s="73">
        <f>F27/F33</f>
        <v>3.2947294543805699</v>
      </c>
      <c r="G25" s="73">
        <f t="shared" ref="G25:K25" si="25">G27/G33</f>
        <v>2.4881906604556998</v>
      </c>
      <c r="H25" s="73">
        <f t="shared" si="25"/>
        <v>3.1431314113206024</v>
      </c>
      <c r="I25" s="73">
        <f t="shared" si="25"/>
        <v>1.2189341311583379</v>
      </c>
      <c r="J25" s="73">
        <f t="shared" si="25"/>
        <v>2.5815233818844572</v>
      </c>
      <c r="K25" s="73">
        <f t="shared" si="25"/>
        <v>3.9911529447073857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F121</f>
        <v>1288440.92</v>
      </c>
      <c r="G27" s="76">
        <f t="shared" ref="G27:K27" si="26">G121</f>
        <v>1387085.85</v>
      </c>
      <c r="H27" s="76">
        <f t="shared" si="26"/>
        <v>971354.18</v>
      </c>
      <c r="I27" s="76">
        <f t="shared" si="26"/>
        <v>1075305.1599999999</v>
      </c>
      <c r="J27" s="76">
        <f t="shared" si="26"/>
        <v>1506894.16</v>
      </c>
      <c r="K27" s="76">
        <f t="shared" si="26"/>
        <v>1111727.8700000001</v>
      </c>
    </row>
    <row r="28" spans="1:11" x14ac:dyDescent="0.25">
      <c r="E28" s="43" t="s">
        <v>305</v>
      </c>
      <c r="F28" s="76">
        <f>F96</f>
        <v>183996.79999999999</v>
      </c>
      <c r="G28" s="76">
        <f t="shared" ref="G28:K28" si="27">G96</f>
        <v>185998.96</v>
      </c>
      <c r="H28" s="76">
        <f t="shared" si="27"/>
        <v>69166.600000000006</v>
      </c>
      <c r="I28" s="76">
        <f t="shared" si="27"/>
        <v>174881.35</v>
      </c>
      <c r="J28" s="76">
        <f t="shared" si="27"/>
        <v>53053.31</v>
      </c>
      <c r="K28" s="76">
        <f t="shared" si="27"/>
        <v>38208.53</v>
      </c>
    </row>
    <row r="29" spans="1:11" x14ac:dyDescent="0.25">
      <c r="E29" s="43" t="s">
        <v>306</v>
      </c>
      <c r="F29" s="76">
        <f>F95</f>
        <v>59084.11</v>
      </c>
      <c r="G29" s="76">
        <f t="shared" ref="G29:K29" si="28">G95</f>
        <v>176423.81</v>
      </c>
      <c r="H29" s="76">
        <f t="shared" si="28"/>
        <v>143952.47</v>
      </c>
      <c r="I29" s="76">
        <f t="shared" si="28"/>
        <v>221190.27</v>
      </c>
      <c r="J29" s="76">
        <f t="shared" si="28"/>
        <v>205935.16</v>
      </c>
      <c r="K29" s="76">
        <f t="shared" si="28"/>
        <v>109097.73</v>
      </c>
    </row>
    <row r="30" spans="1:11" x14ac:dyDescent="0.25">
      <c r="E30" s="43" t="s">
        <v>307</v>
      </c>
      <c r="F30" s="76">
        <f>F118</f>
        <v>246113.32</v>
      </c>
      <c r="G30" s="76">
        <f t="shared" ref="G30:K30" si="29">G118</f>
        <v>107483.96</v>
      </c>
      <c r="H30" s="76">
        <f t="shared" si="29"/>
        <v>189106.94</v>
      </c>
      <c r="I30" s="76">
        <f t="shared" si="29"/>
        <v>188741.17</v>
      </c>
      <c r="J30" s="76">
        <f t="shared" si="29"/>
        <v>146581.16</v>
      </c>
      <c r="K30" s="76">
        <f t="shared" si="29"/>
        <v>49434.91</v>
      </c>
    </row>
    <row r="31" spans="1:11" x14ac:dyDescent="0.25">
      <c r="E31" s="43" t="s">
        <v>303</v>
      </c>
      <c r="F31" s="76">
        <f>F104</f>
        <v>1025230.95</v>
      </c>
      <c r="G31" s="76">
        <f t="shared" ref="G31:K31" si="30">G104</f>
        <v>1061640.72</v>
      </c>
      <c r="H31" s="76">
        <f t="shared" si="30"/>
        <v>925180.38</v>
      </c>
      <c r="I31" s="76">
        <f t="shared" si="30"/>
        <v>1112292.25</v>
      </c>
      <c r="J31" s="76">
        <f t="shared" si="30"/>
        <v>794139.7</v>
      </c>
      <c r="K31" s="76">
        <f t="shared" si="30"/>
        <v>521056.4</v>
      </c>
    </row>
    <row r="32" spans="1:11" x14ac:dyDescent="0.25">
      <c r="E32" s="43" t="s">
        <v>308</v>
      </c>
      <c r="F32" s="76">
        <f>F84</f>
        <v>634169.73</v>
      </c>
      <c r="G32" s="76">
        <f t="shared" ref="G32:K32" si="31">G84</f>
        <v>504173.05</v>
      </c>
      <c r="H32" s="76">
        <f t="shared" si="31"/>
        <v>616140.11</v>
      </c>
      <c r="I32" s="76">
        <f t="shared" si="31"/>
        <v>230123.86</v>
      </c>
      <c r="J32" s="76">
        <f t="shared" si="31"/>
        <v>210416.86</v>
      </c>
      <c r="K32" s="76">
        <f t="shared" si="31"/>
        <v>242508.35</v>
      </c>
    </row>
    <row r="33" spans="1:11" x14ac:dyDescent="0.25">
      <c r="E33" s="43" t="s">
        <v>309</v>
      </c>
      <c r="F33" s="76">
        <f>F94</f>
        <v>391061.22</v>
      </c>
      <c r="G33" s="76">
        <f t="shared" ref="G33:K33" si="32">G94</f>
        <v>557467.67000000004</v>
      </c>
      <c r="H33" s="76">
        <f t="shared" si="32"/>
        <v>309040.27</v>
      </c>
      <c r="I33" s="76">
        <f t="shared" si="32"/>
        <v>882168.39</v>
      </c>
      <c r="J33" s="76">
        <f t="shared" si="32"/>
        <v>583722.84</v>
      </c>
      <c r="K33" s="76">
        <f t="shared" si="32"/>
        <v>278548.05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0.19379641456640553</v>
      </c>
      <c r="B37" s="139">
        <f t="shared" ref="B37:B41" si="34">MAX(F37:K37)</f>
        <v>0.38598628734431223</v>
      </c>
      <c r="C37" s="160">
        <f t="shared" ref="C37:C41" si="35">AVERAGE(F37:K37)</f>
        <v>0.25716811534882839</v>
      </c>
      <c r="D37" s="160">
        <f t="shared" ref="D37:D41" si="36">MEDIAN(F37:K37)</f>
        <v>0.23127672804330757</v>
      </c>
      <c r="E37" s="126" t="s">
        <v>370</v>
      </c>
      <c r="F37" s="131">
        <f>F43/F44*100%</f>
        <v>0.24005646727695845</v>
      </c>
      <c r="G37" s="124">
        <f t="shared" ref="G37:K37" si="37">G43/G44*100%</f>
        <v>0.28043345021656668</v>
      </c>
      <c r="H37" s="124">
        <f t="shared" si="37"/>
        <v>0.38598628734431223</v>
      </c>
      <c r="I37" s="124">
        <f t="shared" si="37"/>
        <v>0.19379641456640553</v>
      </c>
      <c r="J37" s="124">
        <f t="shared" si="37"/>
        <v>0.22023908387907068</v>
      </c>
      <c r="K37" s="132">
        <f t="shared" si="37"/>
        <v>0.22249698880965671</v>
      </c>
    </row>
    <row r="38" spans="1:11" x14ac:dyDescent="0.25">
      <c r="A38" s="139">
        <f t="shared" si="33"/>
        <v>0.24038148436437115</v>
      </c>
      <c r="B38" s="139">
        <f t="shared" si="34"/>
        <v>0.62862812244839339</v>
      </c>
      <c r="C38" s="155">
        <f t="shared" si="35"/>
        <v>0.37061618216465714</v>
      </c>
      <c r="D38" s="156">
        <f t="shared" si="36"/>
        <v>0.33794708779706606</v>
      </c>
      <c r="E38" s="127" t="s">
        <v>298</v>
      </c>
      <c r="F38" s="133">
        <f>F43/F45</f>
        <v>0.39634893650970571</v>
      </c>
      <c r="G38" s="122">
        <f t="shared" ref="G38:K38" si="38">G43/G45</f>
        <v>0.38972552337371469</v>
      </c>
      <c r="H38" s="122">
        <f t="shared" si="38"/>
        <v>0.62862812244839339</v>
      </c>
      <c r="I38" s="122">
        <f t="shared" si="38"/>
        <v>0.24038148436437115</v>
      </c>
      <c r="J38" s="122">
        <f t="shared" si="38"/>
        <v>0.28244437407134015</v>
      </c>
      <c r="K38" s="134">
        <f t="shared" si="38"/>
        <v>0.28616865222041749</v>
      </c>
    </row>
    <row r="39" spans="1:11" x14ac:dyDescent="0.25">
      <c r="A39" s="139">
        <f t="shared" si="33"/>
        <v>1.2403814843643712</v>
      </c>
      <c r="B39" s="139">
        <f t="shared" si="34"/>
        <v>1.6510654389178743</v>
      </c>
      <c r="C39" s="155">
        <f t="shared" si="35"/>
        <v>1.4130689325660184</v>
      </c>
      <c r="D39" s="156">
        <f t="shared" si="36"/>
        <v>1.3379470877970663</v>
      </c>
      <c r="E39" s="127" t="s">
        <v>299</v>
      </c>
      <c r="F39" s="133">
        <f>F44/F45</f>
        <v>1.6510654389178743</v>
      </c>
      <c r="G39" s="122">
        <f t="shared" ref="G39:K39" si="39">G44/G45</f>
        <v>1.3897255233737147</v>
      </c>
      <c r="H39" s="122">
        <f t="shared" si="39"/>
        <v>1.6286281224483934</v>
      </c>
      <c r="I39" s="122">
        <f t="shared" si="39"/>
        <v>1.2403814843643712</v>
      </c>
      <c r="J39" s="122">
        <f t="shared" si="39"/>
        <v>1.28244437407134</v>
      </c>
      <c r="K39" s="134">
        <f t="shared" si="39"/>
        <v>1.2861686522204177</v>
      </c>
    </row>
    <row r="40" spans="1:11" x14ac:dyDescent="0.25">
      <c r="A40" s="139">
        <f t="shared" si="33"/>
        <v>0</v>
      </c>
      <c r="B40" s="139">
        <f t="shared" si="34"/>
        <v>0.1815862113288654</v>
      </c>
      <c r="C40" s="160">
        <f t="shared" si="35"/>
        <v>9.1361545533432217E-2</v>
      </c>
      <c r="D40" s="160">
        <f t="shared" si="36"/>
        <v>8.1641560952480124E-2</v>
      </c>
      <c r="E40" s="128" t="s">
        <v>371</v>
      </c>
      <c r="F40" s="131">
        <f>F46/F44*100%</f>
        <v>0</v>
      </c>
      <c r="G40" s="124">
        <f t="shared" ref="G40:K40" si="40">G46/G44*100%</f>
        <v>0.1791901972260446</v>
      </c>
      <c r="H40" s="124">
        <f t="shared" si="40"/>
        <v>0.1815862113288654</v>
      </c>
      <c r="I40" s="124">
        <f t="shared" si="40"/>
        <v>2.4109742740723045E-2</v>
      </c>
      <c r="J40" s="124">
        <f t="shared" si="40"/>
        <v>3.5660526731002118E-2</v>
      </c>
      <c r="K40" s="132">
        <f t="shared" si="40"/>
        <v>0.12762259517395813</v>
      </c>
    </row>
    <row r="41" spans="1:11" ht="13.8" thickBot="1" x14ac:dyDescent="0.3">
      <c r="A41" s="139">
        <f t="shared" si="33"/>
        <v>-80.822304543960797</v>
      </c>
      <c r="B41" s="139">
        <f t="shared" si="34"/>
        <v>255.456708893485</v>
      </c>
      <c r="C41" s="155">
        <f t="shared" si="35"/>
        <v>87.317202174762102</v>
      </c>
      <c r="D41" s="156">
        <f t="shared" si="36"/>
        <v>87.317202174762087</v>
      </c>
      <c r="E41" s="129" t="s">
        <v>300</v>
      </c>
      <c r="F41" s="172"/>
      <c r="G41" s="123">
        <f t="shared" ref="G41:H41" si="41">(G47+G48)/G48</f>
        <v>255.456708893485</v>
      </c>
      <c r="H41" s="123">
        <f t="shared" si="41"/>
        <v>-80.822304543960797</v>
      </c>
      <c r="I41" s="171"/>
      <c r="J41" s="171"/>
      <c r="K41" s="167"/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F117+F118</f>
        <v>246113.32</v>
      </c>
      <c r="G43" s="76">
        <f t="shared" ref="G43:K43" si="42">G117+G118</f>
        <v>297719.57</v>
      </c>
      <c r="H43" s="76">
        <f t="shared" si="42"/>
        <v>357106.94</v>
      </c>
      <c r="I43" s="76">
        <f t="shared" si="42"/>
        <v>215558.25</v>
      </c>
      <c r="J43" s="76">
        <f t="shared" si="42"/>
        <v>174900.6</v>
      </c>
      <c r="K43" s="76">
        <f t="shared" si="42"/>
        <v>115933.48000000001</v>
      </c>
    </row>
    <row r="44" spans="1:11" x14ac:dyDescent="0.25">
      <c r="E44" s="43" t="s">
        <v>303</v>
      </c>
      <c r="F44" s="76">
        <f>F104</f>
        <v>1025230.95</v>
      </c>
      <c r="G44" s="76">
        <f t="shared" ref="G44:K44" si="43">G104</f>
        <v>1061640.72</v>
      </c>
      <c r="H44" s="76">
        <f t="shared" si="43"/>
        <v>925180.38</v>
      </c>
      <c r="I44" s="76">
        <f t="shared" si="43"/>
        <v>1112292.25</v>
      </c>
      <c r="J44" s="76">
        <f t="shared" si="43"/>
        <v>794139.7</v>
      </c>
      <c r="K44" s="76">
        <f t="shared" si="43"/>
        <v>521056.4</v>
      </c>
    </row>
    <row r="45" spans="1:11" x14ac:dyDescent="0.25">
      <c r="E45" s="43" t="s">
        <v>311</v>
      </c>
      <c r="F45" s="76">
        <f>F105</f>
        <v>620951.13</v>
      </c>
      <c r="G45" s="76">
        <f t="shared" ref="G45:K45" si="44">G105</f>
        <v>763921.15</v>
      </c>
      <c r="H45" s="76">
        <f t="shared" si="44"/>
        <v>568073.43999999994</v>
      </c>
      <c r="I45" s="76">
        <f t="shared" si="44"/>
        <v>896734</v>
      </c>
      <c r="J45" s="76">
        <f t="shared" si="44"/>
        <v>619239.1</v>
      </c>
      <c r="K45" s="76">
        <f t="shared" si="44"/>
        <v>405122.92</v>
      </c>
    </row>
    <row r="46" spans="1:11" x14ac:dyDescent="0.25">
      <c r="E46" s="43" t="s">
        <v>312</v>
      </c>
      <c r="F46" s="76">
        <f>F117</f>
        <v>0</v>
      </c>
      <c r="G46" s="76">
        <f t="shared" ref="G46:K46" si="45">G117</f>
        <v>190235.61</v>
      </c>
      <c r="H46" s="76">
        <f t="shared" si="45"/>
        <v>168000</v>
      </c>
      <c r="I46" s="76">
        <f t="shared" si="45"/>
        <v>26817.08</v>
      </c>
      <c r="J46" s="76">
        <f t="shared" si="45"/>
        <v>28319.439999999999</v>
      </c>
      <c r="K46" s="76">
        <f t="shared" si="45"/>
        <v>66498.570000000007</v>
      </c>
    </row>
    <row r="47" spans="1:11" x14ac:dyDescent="0.25">
      <c r="E47" s="43" t="s">
        <v>313</v>
      </c>
      <c r="F47" s="76">
        <f>F144</f>
        <v>49108.08</v>
      </c>
      <c r="G47" s="76">
        <f t="shared" ref="G47:K47" si="46">G144</f>
        <v>196847.71</v>
      </c>
      <c r="H47" s="76">
        <f t="shared" si="46"/>
        <v>-328660.56</v>
      </c>
      <c r="I47" s="76">
        <f t="shared" si="46"/>
        <v>277494.90000000002</v>
      </c>
      <c r="J47" s="76">
        <f t="shared" si="46"/>
        <v>214116.18</v>
      </c>
      <c r="K47" s="76">
        <f t="shared" si="46"/>
        <v>77146.820000000007</v>
      </c>
    </row>
    <row r="48" spans="1:11" x14ac:dyDescent="0.25">
      <c r="E48" s="43" t="s">
        <v>314</v>
      </c>
      <c r="F48" s="76">
        <f>F139</f>
        <v>0</v>
      </c>
      <c r="G48" s="76">
        <f t="shared" ref="G48:K48" si="47">G139</f>
        <v>773.6</v>
      </c>
      <c r="H48" s="76">
        <f t="shared" si="47"/>
        <v>4016.76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-0.11487351651896444</v>
      </c>
      <c r="B52" s="139">
        <f t="shared" ref="B52:B63" si="49">MAX(F52:K52)</f>
        <v>0.11134725290271898</v>
      </c>
      <c r="C52" s="160">
        <f t="shared" ref="C52:C63" si="50">AVERAGE(F52:K52)</f>
        <v>3.3271571136459552E-2</v>
      </c>
      <c r="D52" s="160">
        <f t="shared" ref="D52:D63" si="51">MEDIAN(F52:K52)</f>
        <v>5.1282674329643813E-2</v>
      </c>
      <c r="E52" s="127" t="s">
        <v>350</v>
      </c>
      <c r="F52" s="131">
        <f t="shared" ref="F52:K52" si="52">(F65/(F70+F71))*100%</f>
        <v>1.9101745391389015E-2</v>
      </c>
      <c r="G52" s="124">
        <f t="shared" si="52"/>
        <v>6.1303902961822962E-2</v>
      </c>
      <c r="H52" s="124">
        <f t="shared" si="52"/>
        <v>-0.11487351651896444</v>
      </c>
      <c r="I52" s="124">
        <f t="shared" si="52"/>
        <v>0.11134725290271898</v>
      </c>
      <c r="J52" s="124">
        <f t="shared" si="52"/>
        <v>8.1488596384326095E-2</v>
      </c>
      <c r="K52" s="132">
        <f t="shared" si="52"/>
        <v>4.126144569746467E-2</v>
      </c>
    </row>
    <row r="53" spans="1:11" x14ac:dyDescent="0.25">
      <c r="A53" s="139">
        <f t="shared" si="48"/>
        <v>-0.50457238985680797</v>
      </c>
      <c r="B53" s="139">
        <f t="shared" si="49"/>
        <v>-1.891008722205148E-2</v>
      </c>
      <c r="C53" s="160">
        <f t="shared" si="50"/>
        <v>-0.28775123767721128</v>
      </c>
      <c r="D53" s="160">
        <f t="shared" si="51"/>
        <v>-0.28828952174364253</v>
      </c>
      <c r="E53" s="127" t="s">
        <v>351</v>
      </c>
      <c r="F53" s="131">
        <f>(F66/F70)*100%</f>
        <v>-0.36322325900670716</v>
      </c>
      <c r="G53" s="124">
        <f t="shared" ref="G53:K53" si="53">(G66/G70)*100%</f>
        <v>-0.29892040207893406</v>
      </c>
      <c r="H53" s="124">
        <f t="shared" si="53"/>
        <v>-0.50457238985680797</v>
      </c>
      <c r="I53" s="124">
        <f t="shared" si="53"/>
        <v>-0.26322264649041582</v>
      </c>
      <c r="J53" s="124">
        <f t="shared" si="53"/>
        <v>-1.891008722205148E-2</v>
      </c>
      <c r="K53" s="132">
        <f t="shared" si="53"/>
        <v>-0.27765864140835106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-0.11001158256041228</v>
      </c>
      <c r="B58" s="139">
        <f t="shared" si="49"/>
        <v>0.11177720224641423</v>
      </c>
      <c r="C58" s="155">
        <f t="shared" si="50"/>
        <v>3.4362467262342176E-2</v>
      </c>
      <c r="D58" s="156">
        <f t="shared" si="51"/>
        <v>5.1622239967053077E-2</v>
      </c>
      <c r="E58" s="127" t="s">
        <v>356</v>
      </c>
      <c r="F58" s="133">
        <f>F68/(F70+F71+F72+F73+F74+F75)</f>
        <v>1.9403896348038005E-2</v>
      </c>
      <c r="G58" s="122">
        <f t="shared" ref="G58:K58" si="54">G68/(G70+G71+G72+G73+G74)</f>
        <v>6.0173871282853411E-2</v>
      </c>
      <c r="H58" s="122">
        <f t="shared" si="54"/>
        <v>-0.11001158256041228</v>
      </c>
      <c r="I58" s="122">
        <f t="shared" si="54"/>
        <v>0.11177720224641423</v>
      </c>
      <c r="J58" s="122">
        <f t="shared" si="54"/>
        <v>8.1760807605906941E-2</v>
      </c>
      <c r="K58" s="134">
        <f t="shared" si="54"/>
        <v>4.3070608651252749E-2</v>
      </c>
    </row>
    <row r="59" spans="1:11" x14ac:dyDescent="0.25">
      <c r="A59" s="139">
        <f t="shared" si="48"/>
        <v>-0.11001158256041228</v>
      </c>
      <c r="B59" s="139">
        <f t="shared" si="49"/>
        <v>0.11177720224641423</v>
      </c>
      <c r="C59" s="155">
        <f t="shared" si="50"/>
        <v>3.4348331062738303E-2</v>
      </c>
      <c r="D59" s="156">
        <f t="shared" si="51"/>
        <v>5.1580883162257583E-2</v>
      </c>
      <c r="E59" s="127" t="s">
        <v>361</v>
      </c>
      <c r="F59" s="133">
        <f>F69/(F70+F71+F72+F73+F74+F75)</f>
        <v>1.9403896348038005E-2</v>
      </c>
      <c r="G59" s="122">
        <f t="shared" ref="G59:K59" si="55">G69/(G70+G71+G72+G73+G74+G75)</f>
        <v>6.0091755209649454E-2</v>
      </c>
      <c r="H59" s="122">
        <f t="shared" si="55"/>
        <v>-0.11001158256041228</v>
      </c>
      <c r="I59" s="122">
        <f t="shared" si="55"/>
        <v>0.11177720224641423</v>
      </c>
      <c r="J59" s="122">
        <f t="shared" si="55"/>
        <v>8.1758704017874689E-2</v>
      </c>
      <c r="K59" s="134">
        <f t="shared" si="55"/>
        <v>4.3070011114865712E-2</v>
      </c>
    </row>
    <row r="60" spans="1:11" ht="26.4" x14ac:dyDescent="0.25">
      <c r="A60" s="139">
        <f t="shared" si="48"/>
        <v>-0.37093915675124889</v>
      </c>
      <c r="B60" s="139">
        <f t="shared" si="49"/>
        <v>0.2687226315470691</v>
      </c>
      <c r="C60" s="160">
        <f t="shared" si="50"/>
        <v>8.7366247804206432E-2</v>
      </c>
      <c r="D60" s="160">
        <f t="shared" si="51"/>
        <v>0.16536989436446364</v>
      </c>
      <c r="E60" s="127" t="s">
        <v>372</v>
      </c>
      <c r="F60" s="131">
        <f>F65/F79*100%</f>
        <v>4.7153638894729039E-2</v>
      </c>
      <c r="G60" s="124">
        <f t="shared" ref="G60:K60" si="56">G65/G79*100%</f>
        <v>0.18890044081956464</v>
      </c>
      <c r="H60" s="124">
        <f t="shared" si="56"/>
        <v>-0.37093915675124889</v>
      </c>
      <c r="I60" s="124">
        <f t="shared" si="56"/>
        <v>0.24852058440576208</v>
      </c>
      <c r="J60" s="124">
        <f t="shared" si="56"/>
        <v>0.2687226315470691</v>
      </c>
      <c r="K60" s="132">
        <f t="shared" si="56"/>
        <v>0.14183934790936262</v>
      </c>
    </row>
    <row r="61" spans="1:11" x14ac:dyDescent="0.25">
      <c r="A61" s="139">
        <f t="shared" si="48"/>
        <v>-0.35523943990251933</v>
      </c>
      <c r="B61" s="139">
        <f t="shared" si="49"/>
        <v>0.26962029476677718</v>
      </c>
      <c r="C61" s="155">
        <f t="shared" si="50"/>
        <v>9.0872910063805615E-2</v>
      </c>
      <c r="D61" s="156">
        <f t="shared" si="51"/>
        <v>0.16673843492271306</v>
      </c>
      <c r="E61" s="127" t="s">
        <v>373</v>
      </c>
      <c r="F61" s="133">
        <f>F69/F79</f>
        <v>4.7899529369455733E-2</v>
      </c>
      <c r="G61" s="122">
        <f t="shared" ref="G61:K61" si="57">G69/G79</f>
        <v>0.18541838711687697</v>
      </c>
      <c r="H61" s="122">
        <f t="shared" si="57"/>
        <v>-0.35523943990251933</v>
      </c>
      <c r="I61" s="122">
        <f t="shared" si="57"/>
        <v>0.24948020630369402</v>
      </c>
      <c r="J61" s="122">
        <f t="shared" si="57"/>
        <v>0.26962029476677718</v>
      </c>
      <c r="K61" s="134">
        <f t="shared" si="57"/>
        <v>0.14805848272854916</v>
      </c>
    </row>
    <row r="62" spans="1:11" x14ac:dyDescent="0.25">
      <c r="A62" s="139">
        <f t="shared" si="48"/>
        <v>-0.86277313017837987</v>
      </c>
      <c r="B62" s="139">
        <f t="shared" si="49"/>
        <v>7.9085257482340035E-2</v>
      </c>
      <c r="C62" s="155">
        <f t="shared" si="50"/>
        <v>-0.40834186280114454</v>
      </c>
      <c r="D62" s="156">
        <f t="shared" si="51"/>
        <v>-0.42920133094805557</v>
      </c>
      <c r="E62" s="127" t="s">
        <v>374</v>
      </c>
      <c r="F62" s="133">
        <f>F69/F80</f>
        <v>7.9085257482340035E-2</v>
      </c>
      <c r="G62" s="122">
        <f>G66/G80</f>
        <v>-0.54276316344952613</v>
      </c>
      <c r="H62" s="122">
        <f>H66/H80</f>
        <v>-0.86277313017837987</v>
      </c>
      <c r="I62" s="122">
        <f>I66/I80</f>
        <v>-0.31563949844658501</v>
      </c>
      <c r="J62" s="122">
        <f>J66/J80</f>
        <v>-4.6016958554458205E-2</v>
      </c>
      <c r="K62" s="134">
        <f>K66/K80</f>
        <v>-0.761943683660258</v>
      </c>
    </row>
    <row r="63" spans="1:11" ht="13.8" thickBot="1" x14ac:dyDescent="0.3">
      <c r="A63" s="139">
        <f t="shared" si="48"/>
        <v>-0.46623830089562807</v>
      </c>
      <c r="B63" s="139">
        <f t="shared" si="49"/>
        <v>0.3295506071157675</v>
      </c>
      <c r="C63" s="155">
        <f t="shared" si="50"/>
        <v>0.10122699684727576</v>
      </c>
      <c r="D63" s="156">
        <f t="shared" si="51"/>
        <v>0.18344326547912737</v>
      </c>
      <c r="E63" s="129" t="s">
        <v>302</v>
      </c>
      <c r="F63" s="135">
        <f t="shared" ref="F63:K63" si="58">F65/(F80+F81)</f>
        <v>7.7853743498300751E-2</v>
      </c>
      <c r="G63" s="123">
        <f t="shared" si="58"/>
        <v>0.21017971931572332</v>
      </c>
      <c r="H63" s="123">
        <f t="shared" si="58"/>
        <v>-0.46623830089562807</v>
      </c>
      <c r="I63" s="123">
        <f t="shared" si="58"/>
        <v>0.29930940040695964</v>
      </c>
      <c r="J63" s="123">
        <f t="shared" si="58"/>
        <v>0.3295506071157675</v>
      </c>
      <c r="K63" s="136">
        <f t="shared" si="58"/>
        <v>0.15670681164253142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F144+F130-F138</f>
        <v>48343.37</v>
      </c>
      <c r="G65" s="76">
        <f t="shared" ref="G65:K65" si="59">G144+G130-G138</f>
        <v>200544.4</v>
      </c>
      <c r="H65" s="76">
        <f t="shared" si="59"/>
        <v>-343185.63</v>
      </c>
      <c r="I65" s="76">
        <f t="shared" si="59"/>
        <v>276427.52000000002</v>
      </c>
      <c r="J65" s="76">
        <f t="shared" si="59"/>
        <v>213403.31</v>
      </c>
      <c r="K65" s="76">
        <f t="shared" si="59"/>
        <v>73906.300000000017</v>
      </c>
      <c r="L65" s="43" t="s">
        <v>383</v>
      </c>
    </row>
    <row r="66" spans="5:12" ht="26.4" x14ac:dyDescent="0.25">
      <c r="E66" s="52" t="s">
        <v>352</v>
      </c>
      <c r="F66" s="76">
        <f>F125</f>
        <v>-467991.71</v>
      </c>
      <c r="G66" s="76">
        <f t="shared" ref="G66:K66" si="60">G125</f>
        <v>-414628.26</v>
      </c>
      <c r="H66" s="76">
        <f t="shared" si="60"/>
        <v>-490118.5</v>
      </c>
      <c r="I66" s="76">
        <f t="shared" si="60"/>
        <v>-283044.67</v>
      </c>
      <c r="J66" s="76">
        <f t="shared" si="60"/>
        <v>-28495.5</v>
      </c>
      <c r="K66" s="76">
        <f t="shared" si="60"/>
        <v>-308680.84999999998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F144</f>
        <v>49108.08</v>
      </c>
      <c r="G68" s="76">
        <f t="shared" ref="G68:K68" si="61">G144</f>
        <v>196847.71</v>
      </c>
      <c r="H68" s="76">
        <f t="shared" si="61"/>
        <v>-328660.56</v>
      </c>
      <c r="I68" s="76">
        <f t="shared" si="61"/>
        <v>277494.90000000002</v>
      </c>
      <c r="J68" s="76">
        <f t="shared" si="61"/>
        <v>214116.18</v>
      </c>
      <c r="K68" s="76">
        <f t="shared" si="61"/>
        <v>77146.820000000007</v>
      </c>
    </row>
    <row r="69" spans="5:12" x14ac:dyDescent="0.25">
      <c r="E69" s="43" t="s">
        <v>315</v>
      </c>
      <c r="F69" s="76">
        <f>F146</f>
        <v>49108.08</v>
      </c>
      <c r="G69" s="76">
        <f t="shared" ref="G69:K69" si="62">G146</f>
        <v>196847.71</v>
      </c>
      <c r="H69" s="76">
        <f t="shared" si="62"/>
        <v>-328660.56</v>
      </c>
      <c r="I69" s="76">
        <f t="shared" si="62"/>
        <v>277494.90000000002</v>
      </c>
      <c r="J69" s="76">
        <f t="shared" si="62"/>
        <v>214116.18</v>
      </c>
      <c r="K69" s="76">
        <f t="shared" si="62"/>
        <v>77146.820000000007</v>
      </c>
    </row>
    <row r="70" spans="5:12" x14ac:dyDescent="0.25">
      <c r="E70" s="43" t="s">
        <v>358</v>
      </c>
      <c r="F70" s="76">
        <f>F121</f>
        <v>1288440.92</v>
      </c>
      <c r="G70" s="76">
        <f t="shared" ref="G70:K70" si="63">G121</f>
        <v>1387085.85</v>
      </c>
      <c r="H70" s="76">
        <f t="shared" si="63"/>
        <v>971354.18</v>
      </c>
      <c r="I70" s="76">
        <f t="shared" si="63"/>
        <v>1075305.1599999999</v>
      </c>
      <c r="J70" s="76">
        <f t="shared" si="63"/>
        <v>1506894.16</v>
      </c>
      <c r="K70" s="76">
        <f t="shared" si="63"/>
        <v>1111727.8700000001</v>
      </c>
    </row>
    <row r="71" spans="5:12" x14ac:dyDescent="0.25">
      <c r="E71" s="43" t="s">
        <v>359</v>
      </c>
      <c r="F71" s="76">
        <f>F126</f>
        <v>1242394.3</v>
      </c>
      <c r="G71" s="76">
        <f t="shared" ref="G71:K71" si="64">G126</f>
        <v>1884229.52</v>
      </c>
      <c r="H71" s="76">
        <f t="shared" si="64"/>
        <v>2016154.52</v>
      </c>
      <c r="I71" s="76">
        <f t="shared" si="64"/>
        <v>1407266.37</v>
      </c>
      <c r="J71" s="76">
        <f t="shared" si="64"/>
        <v>1111917.79</v>
      </c>
      <c r="K71" s="76">
        <f t="shared" si="64"/>
        <v>679443.01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F130</f>
        <v>0.81</v>
      </c>
      <c r="G75" s="76">
        <f t="shared" ref="G75:K75" si="65">G130</f>
        <v>4470.29</v>
      </c>
      <c r="H75" s="76">
        <f t="shared" si="65"/>
        <v>0</v>
      </c>
      <c r="I75" s="76">
        <f t="shared" si="65"/>
        <v>0</v>
      </c>
      <c r="J75" s="76">
        <f t="shared" si="65"/>
        <v>67.38</v>
      </c>
      <c r="K75" s="76">
        <f t="shared" si="65"/>
        <v>24.85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F104</f>
        <v>1025230.95</v>
      </c>
      <c r="G79" s="76">
        <f t="shared" ref="G79:K79" si="66">G104</f>
        <v>1061640.72</v>
      </c>
      <c r="H79" s="76">
        <f t="shared" si="66"/>
        <v>925180.38</v>
      </c>
      <c r="I79" s="76">
        <f t="shared" si="66"/>
        <v>1112292.25</v>
      </c>
      <c r="J79" s="76">
        <f t="shared" si="66"/>
        <v>794139.7</v>
      </c>
      <c r="K79" s="76">
        <f t="shared" si="66"/>
        <v>521056.4</v>
      </c>
    </row>
    <row r="80" spans="5:12" x14ac:dyDescent="0.25">
      <c r="E80" s="43" t="s">
        <v>311</v>
      </c>
      <c r="F80" s="76">
        <f>F105</f>
        <v>620951.13</v>
      </c>
      <c r="G80" s="76">
        <f t="shared" ref="G80:K80" si="67">G105</f>
        <v>763921.15</v>
      </c>
      <c r="H80" s="76">
        <f t="shared" si="67"/>
        <v>568073.43999999994</v>
      </c>
      <c r="I80" s="76">
        <f t="shared" si="67"/>
        <v>896734</v>
      </c>
      <c r="J80" s="76">
        <f t="shared" si="67"/>
        <v>619239.1</v>
      </c>
      <c r="K80" s="76">
        <f t="shared" si="67"/>
        <v>405122.92</v>
      </c>
    </row>
    <row r="81" spans="5:11" x14ac:dyDescent="0.25">
      <c r="E81" s="43" t="s">
        <v>317</v>
      </c>
      <c r="F81" s="76">
        <f>F117</f>
        <v>0</v>
      </c>
      <c r="G81" s="76">
        <f t="shared" ref="G81:K81" si="68">G117</f>
        <v>190235.61</v>
      </c>
      <c r="H81" s="76">
        <f t="shared" si="68"/>
        <v>168000</v>
      </c>
      <c r="I81" s="76">
        <f t="shared" si="68"/>
        <v>26817.08</v>
      </c>
      <c r="J81" s="76">
        <f t="shared" si="68"/>
        <v>28319.439999999999</v>
      </c>
      <c r="K81" s="76">
        <f t="shared" si="68"/>
        <v>66498.570000000007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5">
      <c r="E84" s="95" t="s">
        <v>102</v>
      </c>
      <c r="F84" s="97">
        <v>634169.73</v>
      </c>
      <c r="G84" s="97">
        <v>504173.05</v>
      </c>
      <c r="H84" s="97">
        <v>616140.11</v>
      </c>
      <c r="I84" s="97">
        <v>230123.86</v>
      </c>
      <c r="J84" s="97">
        <v>210416.86</v>
      </c>
      <c r="K84" s="97">
        <v>242508.35</v>
      </c>
    </row>
    <row r="85" spans="5:11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5">
      <c r="E86" s="43" t="s">
        <v>108</v>
      </c>
      <c r="F86" s="97">
        <v>634169.73</v>
      </c>
      <c r="G86" s="97">
        <v>504173.05</v>
      </c>
      <c r="H86" s="97">
        <v>616140.11</v>
      </c>
      <c r="I86" s="97">
        <v>190123.86</v>
      </c>
      <c r="J86" s="97">
        <v>149107.76999999999</v>
      </c>
      <c r="K86" s="97">
        <v>181199.26</v>
      </c>
    </row>
    <row r="87" spans="5:11" x14ac:dyDescent="0.25">
      <c r="E87" s="43" t="s">
        <v>109</v>
      </c>
      <c r="F87" s="97">
        <v>634169.73</v>
      </c>
      <c r="G87" s="97">
        <v>504173.05</v>
      </c>
      <c r="H87" s="97">
        <v>616140.11</v>
      </c>
      <c r="I87" s="97">
        <v>190123.86</v>
      </c>
      <c r="J87" s="97">
        <v>149107.76999999999</v>
      </c>
      <c r="K87" s="97">
        <v>181199.26</v>
      </c>
    </row>
    <row r="88" spans="5:11" x14ac:dyDescent="0.25">
      <c r="E88" s="43" t="s">
        <v>115</v>
      </c>
      <c r="F88" s="97">
        <v>0</v>
      </c>
      <c r="G88" s="97">
        <v>0</v>
      </c>
      <c r="H88" s="97">
        <v>0</v>
      </c>
      <c r="I88" s="97">
        <v>0</v>
      </c>
      <c r="J88" s="97"/>
      <c r="K88" s="97"/>
    </row>
    <row r="89" spans="5:11" x14ac:dyDescent="0.25">
      <c r="E89" s="43" t="s">
        <v>117</v>
      </c>
      <c r="F89" s="97">
        <v>0</v>
      </c>
      <c r="G89" s="97">
        <v>0</v>
      </c>
      <c r="H89" s="97">
        <v>0</v>
      </c>
      <c r="I89" s="97">
        <v>0</v>
      </c>
      <c r="J89" s="97">
        <v>21309.09</v>
      </c>
      <c r="K89" s="97">
        <v>21309.09</v>
      </c>
    </row>
    <row r="90" spans="5:11" x14ac:dyDescent="0.25">
      <c r="E90" s="43" t="s">
        <v>121</v>
      </c>
      <c r="F90" s="97">
        <v>0</v>
      </c>
      <c r="G90" s="97">
        <v>0</v>
      </c>
      <c r="H90" s="97">
        <v>0</v>
      </c>
      <c r="I90" s="97">
        <v>40000</v>
      </c>
      <c r="J90" s="97">
        <v>40000</v>
      </c>
      <c r="K90" s="97">
        <v>40000</v>
      </c>
    </row>
    <row r="91" spans="5:11" x14ac:dyDescent="0.25">
      <c r="E91" s="43" t="s">
        <v>122</v>
      </c>
      <c r="F91" s="97">
        <v>0</v>
      </c>
      <c r="G91" s="97">
        <v>0</v>
      </c>
      <c r="H91" s="97">
        <v>0</v>
      </c>
      <c r="I91" s="97">
        <v>40000</v>
      </c>
      <c r="J91" s="97">
        <v>40000</v>
      </c>
      <c r="K91" s="97">
        <v>40000</v>
      </c>
    </row>
    <row r="92" spans="5:11" x14ac:dyDescent="0.25">
      <c r="E92" s="43" t="s">
        <v>124</v>
      </c>
      <c r="F92" s="97">
        <v>0</v>
      </c>
      <c r="G92" s="97">
        <v>0</v>
      </c>
      <c r="H92" s="97">
        <v>0</v>
      </c>
      <c r="I92" s="97">
        <v>0</v>
      </c>
      <c r="J92" s="97"/>
      <c r="K92" s="97"/>
    </row>
    <row r="93" spans="5:11" x14ac:dyDescent="0.25">
      <c r="E93" s="43" t="s">
        <v>133</v>
      </c>
      <c r="F93" s="97">
        <v>0</v>
      </c>
      <c r="G93" s="97">
        <v>0</v>
      </c>
      <c r="H93" s="97">
        <v>0</v>
      </c>
      <c r="I93" s="97">
        <v>0</v>
      </c>
      <c r="J93" s="97"/>
      <c r="K93" s="97"/>
    </row>
    <row r="94" spans="5:11" x14ac:dyDescent="0.25">
      <c r="E94" s="95" t="s">
        <v>136</v>
      </c>
      <c r="F94" s="97">
        <v>391061.22</v>
      </c>
      <c r="G94" s="97">
        <v>557467.67000000004</v>
      </c>
      <c r="H94" s="97">
        <v>309040.27</v>
      </c>
      <c r="I94" s="97">
        <v>882168.39</v>
      </c>
      <c r="J94" s="97">
        <v>583722.84</v>
      </c>
      <c r="K94" s="97">
        <v>278548.05</v>
      </c>
    </row>
    <row r="95" spans="5:11" x14ac:dyDescent="0.25">
      <c r="E95" s="43" t="s">
        <v>137</v>
      </c>
      <c r="F95" s="97">
        <v>59084.11</v>
      </c>
      <c r="G95" s="97">
        <v>176423.81</v>
      </c>
      <c r="H95" s="97">
        <v>143952.47</v>
      </c>
      <c r="I95" s="97">
        <v>221190.27</v>
      </c>
      <c r="J95" s="97">
        <v>205935.16</v>
      </c>
      <c r="K95" s="97">
        <v>109097.73</v>
      </c>
    </row>
    <row r="96" spans="5:11" x14ac:dyDescent="0.25">
      <c r="E96" s="43" t="s">
        <v>143</v>
      </c>
      <c r="F96" s="97">
        <v>183996.79999999999</v>
      </c>
      <c r="G96" s="97">
        <v>185998.96</v>
      </c>
      <c r="H96" s="97">
        <v>69166.600000000006</v>
      </c>
      <c r="I96" s="97">
        <v>174881.35</v>
      </c>
      <c r="J96" s="97">
        <v>53053.31</v>
      </c>
      <c r="K96" s="97">
        <v>38208.53</v>
      </c>
    </row>
    <row r="97" spans="5:11" x14ac:dyDescent="0.25">
      <c r="E97" s="43" t="s">
        <v>145</v>
      </c>
      <c r="F97" s="97">
        <v>157006.29</v>
      </c>
      <c r="G97" s="97">
        <v>174564.8</v>
      </c>
      <c r="H97" s="97">
        <v>47857.51</v>
      </c>
      <c r="I97" s="97">
        <v>102659.03</v>
      </c>
      <c r="J97" s="97">
        <v>39250.32</v>
      </c>
      <c r="K97" s="97">
        <v>38208.53</v>
      </c>
    </row>
    <row r="98" spans="5:11" x14ac:dyDescent="0.25">
      <c r="E98" s="43" t="s">
        <v>154</v>
      </c>
      <c r="F98" s="97">
        <v>144945.35999999999</v>
      </c>
      <c r="G98" s="97">
        <v>190912</v>
      </c>
      <c r="H98" s="97">
        <v>91932.14</v>
      </c>
      <c r="I98" s="97">
        <v>478627.72</v>
      </c>
      <c r="J98" s="97">
        <v>277105.25</v>
      </c>
      <c r="K98" s="97">
        <v>90151.63</v>
      </c>
    </row>
    <row r="99" spans="5:11" x14ac:dyDescent="0.25">
      <c r="E99" s="43" t="s">
        <v>155</v>
      </c>
      <c r="F99" s="97">
        <v>144945.35999999999</v>
      </c>
      <c r="G99" s="97">
        <v>190912</v>
      </c>
      <c r="H99" s="97">
        <v>91932.14</v>
      </c>
      <c r="I99" s="97">
        <v>478627.72</v>
      </c>
      <c r="J99" s="97">
        <v>277105.25</v>
      </c>
      <c r="K99" s="97">
        <v>90151.63</v>
      </c>
    </row>
    <row r="100" spans="5:11" x14ac:dyDescent="0.25">
      <c r="E100" s="43" t="s">
        <v>161</v>
      </c>
      <c r="F100" s="97">
        <v>144945.35999999999</v>
      </c>
      <c r="G100" s="97">
        <v>190912</v>
      </c>
      <c r="H100" s="97">
        <v>91932.14</v>
      </c>
      <c r="I100" s="97">
        <v>475478.83</v>
      </c>
      <c r="J100" s="97">
        <v>275665.77</v>
      </c>
      <c r="K100" s="97">
        <v>84731.839999999997</v>
      </c>
    </row>
    <row r="101" spans="5:11" x14ac:dyDescent="0.25">
      <c r="E101" s="43" t="s">
        <v>166</v>
      </c>
      <c r="F101" s="97">
        <v>3034.95</v>
      </c>
      <c r="G101" s="97">
        <v>4132.8999999999996</v>
      </c>
      <c r="H101" s="97">
        <v>3989.06</v>
      </c>
      <c r="I101" s="97">
        <v>7469.05</v>
      </c>
      <c r="J101" s="97">
        <v>47629.120000000003</v>
      </c>
      <c r="K101" s="97">
        <v>41090.160000000003</v>
      </c>
    </row>
    <row r="102" spans="5:11" x14ac:dyDescent="0.25">
      <c r="E102" s="95" t="s">
        <v>167</v>
      </c>
      <c r="F102" s="97">
        <v>0</v>
      </c>
      <c r="G102" s="97">
        <v>0</v>
      </c>
      <c r="H102" s="97">
        <v>0</v>
      </c>
      <c r="I102" s="97">
        <v>0</v>
      </c>
      <c r="J102" s="97"/>
      <c r="K102" s="97"/>
    </row>
    <row r="103" spans="5:11" x14ac:dyDescent="0.25">
      <c r="E103" s="95" t="s">
        <v>168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5">
      <c r="E104" s="95" t="s">
        <v>169</v>
      </c>
      <c r="F104" s="97">
        <v>1025230.95</v>
      </c>
      <c r="G104" s="97">
        <v>1061640.72</v>
      </c>
      <c r="H104" s="97">
        <v>925180.38</v>
      </c>
      <c r="I104" s="97">
        <v>1112292.25</v>
      </c>
      <c r="J104" s="97">
        <v>794139.7</v>
      </c>
      <c r="K104" s="97">
        <v>521056.4</v>
      </c>
    </row>
    <row r="105" spans="5:11" x14ac:dyDescent="0.25">
      <c r="E105" s="95" t="s">
        <v>170</v>
      </c>
      <c r="F105" s="97">
        <v>620951.13</v>
      </c>
      <c r="G105" s="97">
        <v>763921.15</v>
      </c>
      <c r="H105" s="97">
        <v>568073.43999999994</v>
      </c>
      <c r="I105" s="97">
        <v>896734</v>
      </c>
      <c r="J105" s="97">
        <v>619239.1</v>
      </c>
      <c r="K105" s="97">
        <v>405122.92</v>
      </c>
    </row>
    <row r="106" spans="5:11" x14ac:dyDescent="0.25">
      <c r="E106" s="43" t="s">
        <v>171</v>
      </c>
      <c r="F106" s="97">
        <v>110000</v>
      </c>
      <c r="G106" s="97">
        <v>211000</v>
      </c>
      <c r="H106" s="97">
        <v>212000</v>
      </c>
      <c r="I106" s="97">
        <v>212000</v>
      </c>
      <c r="J106" s="97">
        <v>212000</v>
      </c>
      <c r="K106" s="97">
        <v>212000</v>
      </c>
    </row>
    <row r="107" spans="5:11" x14ac:dyDescent="0.25">
      <c r="E107" s="43" t="s">
        <v>172</v>
      </c>
      <c r="F107" s="97">
        <v>461843.05</v>
      </c>
      <c r="G107" s="97">
        <v>264995.34000000003</v>
      </c>
      <c r="H107" s="97">
        <v>264995.34000000003</v>
      </c>
      <c r="I107" s="97">
        <v>153997.38</v>
      </c>
      <c r="J107" s="97">
        <v>68350.91</v>
      </c>
      <c r="K107" s="97">
        <v>37492.18</v>
      </c>
    </row>
    <row r="108" spans="5:11" x14ac:dyDescent="0.25">
      <c r="E108" s="43" t="s">
        <v>173</v>
      </c>
      <c r="F108" s="97">
        <v>0</v>
      </c>
      <c r="G108" s="97">
        <v>0</v>
      </c>
      <c r="H108" s="97">
        <v>0</v>
      </c>
      <c r="I108" s="97">
        <v>0</v>
      </c>
      <c r="J108" s="97"/>
      <c r="K108" s="97"/>
    </row>
    <row r="109" spans="5:11" ht="15" customHeight="1" x14ac:dyDescent="0.25">
      <c r="E109" s="43" t="s">
        <v>174</v>
      </c>
      <c r="F109" s="97">
        <v>0</v>
      </c>
      <c r="G109" s="97">
        <v>0</v>
      </c>
      <c r="H109" s="97">
        <v>0</v>
      </c>
      <c r="I109" s="97">
        <v>0</v>
      </c>
      <c r="J109" s="97"/>
      <c r="K109" s="97"/>
    </row>
    <row r="110" spans="5:11" ht="15" customHeight="1" x14ac:dyDescent="0.25">
      <c r="E110" s="43" t="s">
        <v>175</v>
      </c>
      <c r="F110" s="97">
        <v>0</v>
      </c>
      <c r="G110" s="97">
        <v>0</v>
      </c>
      <c r="H110" s="97">
        <v>0</v>
      </c>
      <c r="I110" s="97">
        <v>0</v>
      </c>
      <c r="J110" s="97"/>
      <c r="K110" s="97"/>
    </row>
    <row r="111" spans="5:11" ht="15" customHeight="1" x14ac:dyDescent="0.25">
      <c r="E111" s="43" t="s">
        <v>176</v>
      </c>
      <c r="F111" s="97">
        <v>0</v>
      </c>
      <c r="G111" s="97">
        <v>91078.1</v>
      </c>
      <c r="H111" s="97">
        <v>419738.66</v>
      </c>
      <c r="I111" s="97">
        <v>253241.72</v>
      </c>
      <c r="J111" s="97">
        <v>124772.01</v>
      </c>
      <c r="K111" s="97">
        <v>78483.92</v>
      </c>
    </row>
    <row r="112" spans="5:11" ht="15" customHeight="1" x14ac:dyDescent="0.25">
      <c r="E112" s="43" t="s">
        <v>179</v>
      </c>
      <c r="F112" s="97">
        <v>0</v>
      </c>
      <c r="G112" s="97">
        <v>0</v>
      </c>
      <c r="H112" s="97">
        <v>0</v>
      </c>
      <c r="I112" s="97">
        <v>0</v>
      </c>
      <c r="J112" s="97"/>
      <c r="K112" s="97"/>
    </row>
    <row r="113" spans="5:11" ht="15" customHeight="1" x14ac:dyDescent="0.25">
      <c r="E113" s="43" t="s">
        <v>180</v>
      </c>
      <c r="F113" s="97">
        <v>49108.08</v>
      </c>
      <c r="G113" s="97">
        <v>196847.71</v>
      </c>
      <c r="H113" s="97">
        <v>-328660.56</v>
      </c>
      <c r="I113" s="97">
        <v>277494.90000000002</v>
      </c>
      <c r="J113" s="97">
        <v>214116.18</v>
      </c>
      <c r="K113" s="97">
        <v>77146.820000000007</v>
      </c>
    </row>
    <row r="114" spans="5:11" x14ac:dyDescent="0.25">
      <c r="E114" s="43" t="s">
        <v>181</v>
      </c>
      <c r="F114" s="97">
        <v>0</v>
      </c>
      <c r="G114" s="97">
        <v>0</v>
      </c>
      <c r="H114" s="97">
        <v>0</v>
      </c>
      <c r="I114" s="97">
        <v>0</v>
      </c>
      <c r="J114" s="97"/>
      <c r="K114" s="97"/>
    </row>
    <row r="115" spans="5:11" x14ac:dyDescent="0.25">
      <c r="E115" s="95" t="s">
        <v>182</v>
      </c>
      <c r="F115" s="97">
        <v>404279.82</v>
      </c>
      <c r="G115" s="97">
        <v>297719.57</v>
      </c>
      <c r="H115" s="97">
        <v>357106.94</v>
      </c>
      <c r="I115" s="97">
        <v>215558.25</v>
      </c>
      <c r="J115" s="97">
        <v>174900.6</v>
      </c>
      <c r="K115" s="97">
        <v>115933.48</v>
      </c>
    </row>
    <row r="116" spans="5:11" ht="15" customHeight="1" x14ac:dyDescent="0.25">
      <c r="E116" s="43" t="s">
        <v>183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</row>
    <row r="117" spans="5:11" ht="15" customHeight="1" x14ac:dyDescent="0.25">
      <c r="E117" s="43" t="s">
        <v>189</v>
      </c>
      <c r="F117" s="97">
        <v>0</v>
      </c>
      <c r="G117" s="97">
        <v>190235.61</v>
      </c>
      <c r="H117" s="97">
        <v>168000</v>
      </c>
      <c r="I117" s="97">
        <v>26817.08</v>
      </c>
      <c r="J117" s="97">
        <v>28319.439999999999</v>
      </c>
      <c r="K117" s="97">
        <v>66498.570000000007</v>
      </c>
    </row>
    <row r="118" spans="5:11" ht="15" customHeight="1" x14ac:dyDescent="0.25">
      <c r="E118" s="43" t="s">
        <v>198</v>
      </c>
      <c r="F118" s="97">
        <v>246113.32</v>
      </c>
      <c r="G118" s="97">
        <v>107483.96</v>
      </c>
      <c r="H118" s="97">
        <v>189106.94</v>
      </c>
      <c r="I118" s="97">
        <v>188741.17</v>
      </c>
      <c r="J118" s="97">
        <v>146581.16</v>
      </c>
      <c r="K118" s="97">
        <v>49434.91</v>
      </c>
    </row>
    <row r="119" spans="5:11" ht="15" customHeight="1" x14ac:dyDescent="0.25">
      <c r="E119" s="43" t="s">
        <v>208</v>
      </c>
      <c r="F119" s="97">
        <v>158166.5</v>
      </c>
      <c r="G119" s="97">
        <v>0</v>
      </c>
      <c r="H119" s="97">
        <v>0</v>
      </c>
      <c r="I119" s="97">
        <v>0</v>
      </c>
      <c r="J119" s="97"/>
      <c r="K119" s="97"/>
    </row>
    <row r="120" spans="5:11" x14ac:dyDescent="0.25">
      <c r="E120" s="95" t="s">
        <v>212</v>
      </c>
      <c r="F120" s="97">
        <v>1025230.95</v>
      </c>
      <c r="G120" s="97">
        <v>1061640.72</v>
      </c>
      <c r="H120" s="97">
        <v>925180.38</v>
      </c>
      <c r="I120" s="97">
        <v>1112292.25</v>
      </c>
      <c r="J120" s="97">
        <v>794139.7</v>
      </c>
      <c r="K120" s="97">
        <v>521056.4</v>
      </c>
    </row>
    <row r="121" spans="5:11" x14ac:dyDescent="0.25">
      <c r="E121" s="149" t="s">
        <v>274</v>
      </c>
      <c r="F121" s="97">
        <v>1288440.92</v>
      </c>
      <c r="G121" s="97">
        <v>1387085.85</v>
      </c>
      <c r="H121" s="97">
        <v>971354.18</v>
      </c>
      <c r="I121" s="97">
        <v>1075305.1599999999</v>
      </c>
      <c r="J121" s="97">
        <v>1506894.16</v>
      </c>
      <c r="K121" s="97">
        <v>1111727.8700000001</v>
      </c>
    </row>
    <row r="122" spans="5:11" x14ac:dyDescent="0.25">
      <c r="E122" s="95" t="s">
        <v>275</v>
      </c>
      <c r="F122" s="97">
        <v>1732399.23</v>
      </c>
      <c r="G122" s="97">
        <v>1767029.84</v>
      </c>
      <c r="H122" s="97">
        <v>1371214.64</v>
      </c>
      <c r="I122" s="97">
        <v>1150117.1299999999</v>
      </c>
      <c r="J122" s="97">
        <v>1194154.3</v>
      </c>
      <c r="K122" s="97">
        <v>1125614.95</v>
      </c>
    </row>
    <row r="123" spans="5:11" x14ac:dyDescent="0.25">
      <c r="E123" s="95" t="s">
        <v>70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5">
      <c r="E124" s="95" t="s">
        <v>0</v>
      </c>
      <c r="F124" s="97">
        <v>24033.4</v>
      </c>
      <c r="G124" s="97">
        <v>34684.269999999997</v>
      </c>
      <c r="H124" s="97">
        <v>90258.04</v>
      </c>
      <c r="I124" s="97">
        <v>208232.7</v>
      </c>
      <c r="J124" s="97">
        <v>341235.36</v>
      </c>
      <c r="K124" s="97">
        <v>294793.77</v>
      </c>
    </row>
    <row r="125" spans="5:11" ht="15" customHeight="1" x14ac:dyDescent="0.25">
      <c r="E125" s="95" t="s">
        <v>277</v>
      </c>
      <c r="F125" s="97">
        <v>-467991.71</v>
      </c>
      <c r="G125" s="97">
        <v>-414628.26</v>
      </c>
      <c r="H125" s="97">
        <v>-490118.5</v>
      </c>
      <c r="I125" s="97">
        <v>-283044.67</v>
      </c>
      <c r="J125" s="97">
        <v>-28495.5</v>
      </c>
      <c r="K125" s="97">
        <v>-308680.84999999998</v>
      </c>
    </row>
    <row r="126" spans="5:11" x14ac:dyDescent="0.25">
      <c r="E126" s="95" t="s">
        <v>278</v>
      </c>
      <c r="F126" s="97">
        <v>1242394.3</v>
      </c>
      <c r="G126" s="97">
        <v>1884229.52</v>
      </c>
      <c r="H126" s="97">
        <v>2016154.52</v>
      </c>
      <c r="I126" s="97">
        <v>1407266.37</v>
      </c>
      <c r="J126" s="97">
        <v>1111917.79</v>
      </c>
      <c r="K126" s="97">
        <v>679443.01</v>
      </c>
    </row>
    <row r="127" spans="5:11" ht="15" customHeight="1" x14ac:dyDescent="0.25">
      <c r="E127" s="43" t="s">
        <v>283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5">
      <c r="E128" s="95" t="s">
        <v>279</v>
      </c>
      <c r="F128" s="97">
        <v>724529.8</v>
      </c>
      <c r="G128" s="97">
        <v>1276450.24</v>
      </c>
      <c r="H128" s="97">
        <v>1840171.51</v>
      </c>
      <c r="I128" s="97">
        <v>845659.42</v>
      </c>
      <c r="J128" s="97">
        <v>868593.24</v>
      </c>
      <c r="K128" s="97">
        <v>290374.82</v>
      </c>
    </row>
    <row r="129" spans="5:11" ht="15" customHeight="1" x14ac:dyDescent="0.25">
      <c r="E129" s="43" t="s">
        <v>238</v>
      </c>
      <c r="F129" s="97">
        <v>0</v>
      </c>
      <c r="G129" s="97">
        <v>0</v>
      </c>
      <c r="H129" s="97">
        <v>0</v>
      </c>
      <c r="I129" s="97">
        <v>0</v>
      </c>
      <c r="J129" s="97"/>
      <c r="K129" s="97"/>
    </row>
    <row r="130" spans="5:11" ht="15" customHeight="1" x14ac:dyDescent="0.25">
      <c r="E130" s="95" t="s">
        <v>1</v>
      </c>
      <c r="F130" s="97">
        <v>0.81</v>
      </c>
      <c r="G130" s="97">
        <v>4470.29</v>
      </c>
      <c r="H130" s="97">
        <v>0</v>
      </c>
      <c r="I130" s="97">
        <v>0</v>
      </c>
      <c r="J130" s="97">
        <v>67.38</v>
      </c>
      <c r="K130" s="97">
        <v>24.85</v>
      </c>
    </row>
    <row r="131" spans="5:11" ht="15" customHeight="1" x14ac:dyDescent="0.25">
      <c r="E131" s="43" t="s">
        <v>242</v>
      </c>
      <c r="F131" s="97">
        <v>0</v>
      </c>
      <c r="G131" s="97">
        <v>0</v>
      </c>
      <c r="H131" s="97">
        <v>0</v>
      </c>
      <c r="I131" s="97">
        <v>0</v>
      </c>
      <c r="J131" s="97"/>
      <c r="K131" s="97"/>
    </row>
    <row r="132" spans="5:11" x14ac:dyDescent="0.25">
      <c r="E132" s="43" t="s">
        <v>284</v>
      </c>
      <c r="F132" s="97">
        <v>0</v>
      </c>
      <c r="G132" s="97">
        <v>0</v>
      </c>
      <c r="H132" s="97">
        <v>0</v>
      </c>
      <c r="I132" s="97">
        <v>0</v>
      </c>
      <c r="J132" s="97"/>
      <c r="K132" s="97"/>
    </row>
    <row r="133" spans="5:11" x14ac:dyDescent="0.25">
      <c r="E133" s="43" t="s">
        <v>246</v>
      </c>
      <c r="F133" s="97">
        <v>0</v>
      </c>
      <c r="G133" s="97">
        <v>150.84</v>
      </c>
      <c r="H133" s="97">
        <v>0</v>
      </c>
      <c r="I133" s="97">
        <v>0</v>
      </c>
      <c r="J133" s="97">
        <v>67.38</v>
      </c>
      <c r="K133" s="97">
        <v>24.85</v>
      </c>
    </row>
    <row r="134" spans="5:11" x14ac:dyDescent="0.25">
      <c r="E134" s="43" t="s">
        <v>247</v>
      </c>
      <c r="F134" s="97">
        <v>0</v>
      </c>
      <c r="G134" s="97">
        <v>0</v>
      </c>
      <c r="H134" s="97">
        <v>0</v>
      </c>
      <c r="I134" s="97">
        <v>0</v>
      </c>
      <c r="J134" s="97"/>
      <c r="K134" s="97"/>
    </row>
    <row r="135" spans="5:11" x14ac:dyDescent="0.25">
      <c r="E135" s="43" t="s">
        <v>285</v>
      </c>
      <c r="F135" s="97">
        <v>0</v>
      </c>
      <c r="G135" s="97">
        <v>0</v>
      </c>
      <c r="H135" s="97">
        <v>0</v>
      </c>
      <c r="I135" s="97">
        <v>0</v>
      </c>
      <c r="J135" s="97"/>
      <c r="K135" s="97"/>
    </row>
    <row r="136" spans="5:11" x14ac:dyDescent="0.25">
      <c r="E136" s="43" t="s">
        <v>249</v>
      </c>
      <c r="F136" s="97">
        <v>0</v>
      </c>
      <c r="G136" s="97">
        <v>0</v>
      </c>
      <c r="H136" s="97">
        <v>0</v>
      </c>
      <c r="I136" s="97">
        <v>0</v>
      </c>
      <c r="J136" s="97"/>
      <c r="K136" s="97"/>
    </row>
    <row r="137" spans="5:11" x14ac:dyDescent="0.25">
      <c r="E137" s="43" t="s">
        <v>250</v>
      </c>
      <c r="F137" s="97">
        <v>0</v>
      </c>
      <c r="G137" s="97">
        <v>0</v>
      </c>
      <c r="H137" s="97">
        <v>0</v>
      </c>
      <c r="I137" s="97">
        <v>0</v>
      </c>
      <c r="J137" s="97"/>
      <c r="K137" s="97"/>
    </row>
    <row r="138" spans="5:11" x14ac:dyDescent="0.25">
      <c r="E138" s="95" t="s">
        <v>2</v>
      </c>
      <c r="F138" s="97">
        <v>765.52</v>
      </c>
      <c r="G138" s="97">
        <v>773.6</v>
      </c>
      <c r="H138" s="97">
        <v>14525.07</v>
      </c>
      <c r="I138" s="97">
        <v>1067.3800000000001</v>
      </c>
      <c r="J138" s="97">
        <v>780.25</v>
      </c>
      <c r="K138" s="97">
        <v>3265.37</v>
      </c>
    </row>
    <row r="139" spans="5:11" x14ac:dyDescent="0.25">
      <c r="E139" s="43" t="s">
        <v>253</v>
      </c>
      <c r="F139" s="97">
        <v>0</v>
      </c>
      <c r="G139" s="97">
        <v>773.6</v>
      </c>
      <c r="H139" s="97">
        <v>4016.76</v>
      </c>
      <c r="I139" s="97">
        <v>0</v>
      </c>
      <c r="J139" s="97">
        <v>0</v>
      </c>
      <c r="K139" s="97">
        <v>0</v>
      </c>
    </row>
    <row r="140" spans="5:11" x14ac:dyDescent="0.25">
      <c r="E140" s="43" t="s">
        <v>254</v>
      </c>
      <c r="F140" s="97">
        <v>0</v>
      </c>
      <c r="G140" s="97">
        <v>0</v>
      </c>
      <c r="H140" s="97">
        <v>0</v>
      </c>
      <c r="I140" s="97">
        <v>0</v>
      </c>
      <c r="J140" s="97"/>
      <c r="K140" s="97"/>
    </row>
    <row r="141" spans="5:11" x14ac:dyDescent="0.25">
      <c r="E141" s="43" t="s">
        <v>255</v>
      </c>
      <c r="F141" s="97">
        <v>0</v>
      </c>
      <c r="G141" s="97">
        <v>0</v>
      </c>
      <c r="H141" s="97">
        <v>0</v>
      </c>
      <c r="I141" s="97">
        <v>0</v>
      </c>
      <c r="J141" s="97"/>
      <c r="K141" s="97"/>
    </row>
    <row r="142" spans="5:11" x14ac:dyDescent="0.25">
      <c r="E142" s="43" t="s">
        <v>249</v>
      </c>
      <c r="F142" s="97">
        <v>0</v>
      </c>
      <c r="G142" s="97">
        <v>0</v>
      </c>
      <c r="H142" s="97">
        <v>0</v>
      </c>
      <c r="I142" s="97">
        <v>0</v>
      </c>
      <c r="J142" s="97"/>
      <c r="K142" s="97"/>
    </row>
    <row r="143" spans="5:11" x14ac:dyDescent="0.25">
      <c r="E143" s="43" t="s">
        <v>256</v>
      </c>
      <c r="F143" s="97">
        <v>0</v>
      </c>
      <c r="G143" s="97">
        <v>0</v>
      </c>
      <c r="H143" s="97">
        <v>0</v>
      </c>
      <c r="I143" s="97">
        <v>0</v>
      </c>
      <c r="J143" s="97"/>
      <c r="K143" s="97"/>
    </row>
    <row r="144" spans="5:11" x14ac:dyDescent="0.25">
      <c r="E144" s="95" t="s">
        <v>280</v>
      </c>
      <c r="F144" s="97">
        <v>49108.08</v>
      </c>
      <c r="G144" s="97">
        <v>196847.71</v>
      </c>
      <c r="H144" s="97">
        <v>-328660.56</v>
      </c>
      <c r="I144" s="97">
        <v>277494.90000000002</v>
      </c>
      <c r="J144" s="97">
        <v>214116.18</v>
      </c>
      <c r="K144" s="97">
        <v>77146.820000000007</v>
      </c>
    </row>
    <row r="145" spans="5:11" x14ac:dyDescent="0.25">
      <c r="E145" s="95" t="s">
        <v>281</v>
      </c>
      <c r="F145" s="97">
        <v>0</v>
      </c>
      <c r="G145" s="97">
        <v>0</v>
      </c>
      <c r="H145" s="97">
        <v>0</v>
      </c>
      <c r="I145" s="97">
        <v>0</v>
      </c>
      <c r="J145" s="97"/>
      <c r="K145" s="97"/>
    </row>
    <row r="146" spans="5:11" x14ac:dyDescent="0.25">
      <c r="E146" s="95" t="s">
        <v>282</v>
      </c>
      <c r="F146" s="97">
        <v>49108.08</v>
      </c>
      <c r="G146" s="97">
        <v>196847.71</v>
      </c>
      <c r="H146" s="97">
        <v>-328660.56</v>
      </c>
      <c r="I146" s="97">
        <v>277494.90000000002</v>
      </c>
      <c r="J146" s="97">
        <v>214116.18</v>
      </c>
      <c r="K146" s="97">
        <v>77146.820000000007</v>
      </c>
    </row>
    <row r="147" spans="5:11" x14ac:dyDescent="0.25">
      <c r="F147" s="97"/>
      <c r="G147" s="97"/>
      <c r="H147" s="97"/>
      <c r="I147" s="97"/>
      <c r="J147" s="97"/>
      <c r="K147" s="97"/>
    </row>
    <row r="148" spans="5:11" x14ac:dyDescent="0.25">
      <c r="F148" s="99"/>
      <c r="G148" s="99"/>
      <c r="H148" s="100"/>
      <c r="I148" s="100"/>
      <c r="K148" s="102"/>
    </row>
    <row r="149" spans="5:11" x14ac:dyDescent="0.25">
      <c r="F149" s="99"/>
      <c r="G149" s="99"/>
      <c r="H149" s="100"/>
      <c r="I149" s="100"/>
      <c r="K149" s="102"/>
    </row>
    <row r="150" spans="5:11" x14ac:dyDescent="0.25">
      <c r="F150" s="99"/>
      <c r="G150" s="99"/>
      <c r="H150" s="100"/>
      <c r="I150" s="100"/>
      <c r="K150" s="102"/>
    </row>
    <row r="151" spans="5:11" x14ac:dyDescent="0.25">
      <c r="F151" s="99"/>
      <c r="G151" s="99"/>
      <c r="H151" s="100"/>
      <c r="I151" s="100"/>
      <c r="K151" s="102"/>
    </row>
    <row r="152" spans="5:11" x14ac:dyDescent="0.25">
      <c r="F152" s="99"/>
      <c r="G152" s="99"/>
      <c r="H152" s="100"/>
      <c r="I152" s="100"/>
      <c r="K152" s="102"/>
    </row>
    <row r="153" spans="5:11" x14ac:dyDescent="0.25">
      <c r="F153" s="99"/>
      <c r="G153" s="99"/>
      <c r="H153" s="100"/>
      <c r="I153" s="100"/>
      <c r="K153" s="102"/>
    </row>
    <row r="154" spans="5:11" x14ac:dyDescent="0.25">
      <c r="F154" s="99"/>
      <c r="G154" s="99"/>
      <c r="H154" s="100"/>
      <c r="I154" s="100"/>
      <c r="K154" s="102"/>
    </row>
    <row r="155" spans="5:11" x14ac:dyDescent="0.25">
      <c r="F155" s="99"/>
      <c r="G155" s="99"/>
      <c r="H155" s="100"/>
      <c r="I155" s="100"/>
      <c r="K155" s="102"/>
    </row>
    <row r="156" spans="5:11" x14ac:dyDescent="0.25">
      <c r="F156" s="99"/>
      <c r="G156" s="99"/>
      <c r="H156" s="100"/>
      <c r="I156" s="100"/>
      <c r="K156" s="102"/>
    </row>
    <row r="157" spans="5:11" x14ac:dyDescent="0.25">
      <c r="F157" s="99"/>
      <c r="G157" s="99"/>
      <c r="H157" s="100"/>
      <c r="I157" s="100"/>
      <c r="K157" s="102"/>
    </row>
    <row r="158" spans="5:11" x14ac:dyDescent="0.25">
      <c r="F158" s="99"/>
      <c r="G158" s="99"/>
      <c r="H158" s="100"/>
      <c r="I158" s="100"/>
      <c r="K158" s="102"/>
    </row>
    <row r="159" spans="5:11" x14ac:dyDescent="0.25">
      <c r="F159" s="99"/>
      <c r="G159" s="99"/>
      <c r="H159" s="100"/>
      <c r="I159" s="100"/>
      <c r="K159" s="102"/>
    </row>
    <row r="160" spans="5:11" x14ac:dyDescent="0.25">
      <c r="F160" s="99"/>
      <c r="G160" s="99"/>
      <c r="H160" s="100"/>
      <c r="I160" s="100"/>
      <c r="K160" s="102"/>
    </row>
    <row r="161" spans="6:11" x14ac:dyDescent="0.25">
      <c r="F161" s="99"/>
      <c r="G161" s="99"/>
      <c r="H161" s="100"/>
      <c r="I161" s="100"/>
      <c r="K161" s="102"/>
    </row>
    <row r="162" spans="6:11" x14ac:dyDescent="0.25">
      <c r="F162" s="99"/>
      <c r="G162" s="99"/>
      <c r="H162" s="100"/>
      <c r="I162" s="100"/>
      <c r="K162" s="102"/>
    </row>
    <row r="163" spans="6:11" x14ac:dyDescent="0.25">
      <c r="F163" s="99"/>
      <c r="G163" s="99"/>
      <c r="H163" s="100"/>
      <c r="I163" s="100"/>
      <c r="K163" s="102"/>
    </row>
    <row r="164" spans="6:11" x14ac:dyDescent="0.25">
      <c r="F164" s="99"/>
      <c r="G164" s="99"/>
      <c r="H164" s="100"/>
      <c r="I164" s="100"/>
      <c r="K164" s="102"/>
    </row>
    <row r="165" spans="6:11" x14ac:dyDescent="0.25">
      <c r="F165" s="99"/>
      <c r="G165" s="99"/>
      <c r="H165" s="100"/>
      <c r="I165" s="100"/>
      <c r="K165" s="102"/>
    </row>
    <row r="166" spans="6:11" x14ac:dyDescent="0.25">
      <c r="F166" s="99"/>
      <c r="G166" s="99"/>
      <c r="H166" s="100"/>
      <c r="I166" s="100"/>
      <c r="K166" s="102"/>
    </row>
    <row r="167" spans="6:11" x14ac:dyDescent="0.25">
      <c r="F167" s="99"/>
      <c r="G167" s="99"/>
      <c r="H167" s="100"/>
      <c r="I167" s="100"/>
      <c r="K167" s="102"/>
    </row>
    <row r="168" spans="6:11" x14ac:dyDescent="0.25">
      <c r="F168" s="99"/>
      <c r="G168" s="99"/>
      <c r="H168" s="100"/>
      <c r="I168" s="100"/>
      <c r="K168" s="102"/>
    </row>
    <row r="169" spans="6:11" x14ac:dyDescent="0.25">
      <c r="F169" s="99"/>
      <c r="G169" s="99"/>
      <c r="H169" s="100"/>
      <c r="I169" s="100"/>
      <c r="K169" s="102"/>
    </row>
    <row r="170" spans="6:11" x14ac:dyDescent="0.25">
      <c r="F170" s="99"/>
      <c r="G170" s="99"/>
      <c r="H170" s="100"/>
      <c r="I170" s="100"/>
      <c r="K170" s="102"/>
    </row>
    <row r="171" spans="6:11" x14ac:dyDescent="0.25">
      <c r="F171" s="99"/>
      <c r="G171" s="99"/>
      <c r="H171" s="100"/>
      <c r="I171" s="100"/>
      <c r="K171" s="102"/>
    </row>
    <row r="172" spans="6:11" x14ac:dyDescent="0.25">
      <c r="F172" s="99"/>
      <c r="G172" s="99"/>
      <c r="H172" s="100"/>
      <c r="I172" s="100"/>
      <c r="K172" s="102"/>
    </row>
    <row r="173" spans="6:11" x14ac:dyDescent="0.25">
      <c r="F173" s="99"/>
      <c r="G173" s="99"/>
      <c r="H173" s="100"/>
      <c r="I173" s="100"/>
      <c r="K173" s="102"/>
    </row>
    <row r="174" spans="6:11" x14ac:dyDescent="0.25">
      <c r="F174" s="99"/>
      <c r="G174" s="99"/>
      <c r="H174" s="100"/>
      <c r="I174" s="100"/>
      <c r="K174" s="102"/>
    </row>
    <row r="175" spans="6:11" x14ac:dyDescent="0.25">
      <c r="F175" s="99"/>
      <c r="G175" s="99"/>
      <c r="H175" s="100"/>
      <c r="I175" s="100"/>
      <c r="K175" s="102"/>
    </row>
    <row r="176" spans="6:11" x14ac:dyDescent="0.25">
      <c r="F176" s="99"/>
      <c r="G176" s="99"/>
      <c r="H176" s="100"/>
      <c r="I176" s="100"/>
      <c r="K176" s="102"/>
    </row>
    <row r="177" spans="6:11" x14ac:dyDescent="0.25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015AC-CE0F-42FA-916E-586F679646D0}">
  <sheetPr>
    <tabColor theme="4" tint="0.79998168889431442"/>
  </sheetPr>
  <dimension ref="A1:K177"/>
  <sheetViews>
    <sheetView topLeftCell="A26" workbookViewId="0">
      <selection sqref="A1:K135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0" width="18.33203125" style="79" customWidth="1"/>
    <col min="11" max="11" width="15" style="43" customWidth="1"/>
    <col min="12" max="16384" width="9.109375" style="43"/>
  </cols>
  <sheetData>
    <row r="1" spans="1:11" ht="13.8" x14ac:dyDescent="0.25">
      <c r="E1" s="181" t="s">
        <v>407</v>
      </c>
      <c r="F1" s="183"/>
      <c r="G1" s="183"/>
      <c r="H1" s="183"/>
      <c r="I1" s="183"/>
      <c r="J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1" x14ac:dyDescent="0.25">
      <c r="E3" s="44" t="s">
        <v>291</v>
      </c>
      <c r="F3" s="45"/>
      <c r="G3" s="45"/>
      <c r="H3" s="45"/>
      <c r="I3" s="45"/>
      <c r="J3" s="45"/>
    </row>
    <row r="4" spans="1:11" x14ac:dyDescent="0.25">
      <c r="A4" s="139">
        <f>MIN(F4:J4)</f>
        <v>1.021692981460814</v>
      </c>
      <c r="B4" s="139">
        <f>MAX(F4:J4)</f>
        <v>2.9441353191187534</v>
      </c>
      <c r="C4" s="155">
        <f>AVERAGE(F4:J4)</f>
        <v>1.9829141502897838</v>
      </c>
      <c r="D4" s="156">
        <f>MEDIAN(F4:J4)</f>
        <v>1.9829141502897838</v>
      </c>
      <c r="E4" s="47" t="s">
        <v>364</v>
      </c>
      <c r="F4" s="71">
        <f>SUM(F9:F12)/SUM(F13:F15)</f>
        <v>1.021692981460814</v>
      </c>
      <c r="G4" s="71">
        <f t="shared" ref="G4" si="0">SUM(G9:G12)/SUM(G13:G15)</f>
        <v>2.9441353191187534</v>
      </c>
      <c r="H4" s="162"/>
      <c r="I4" s="162"/>
      <c r="J4" s="162"/>
    </row>
    <row r="5" spans="1:11" x14ac:dyDescent="0.25">
      <c r="A5" s="139">
        <f>MIN(F5:J5)</f>
        <v>1.021692981460814</v>
      </c>
      <c r="B5" s="139">
        <f>MAX(F5:J5)</f>
        <v>2.9441353191187534</v>
      </c>
      <c r="C5" s="155">
        <f>AVERAGEIF(F5:J5,"&gt;0")</f>
        <v>1.9829141502897838</v>
      </c>
      <c r="D5" s="156">
        <f>_xlfn.AGGREGATE(12,6,F5:J5)</f>
        <v>1.9829141502897838</v>
      </c>
      <c r="E5" s="47" t="s">
        <v>363</v>
      </c>
      <c r="F5" s="71">
        <f>SUM(F9:F12)/F14</f>
        <v>1.021692981460814</v>
      </c>
      <c r="G5" s="71">
        <f t="shared" ref="G5" si="1">SUM(G9:G12)/G14</f>
        <v>2.9441353191187534</v>
      </c>
      <c r="H5" s="162"/>
      <c r="I5" s="162"/>
      <c r="J5" s="162"/>
    </row>
    <row r="6" spans="1:11" x14ac:dyDescent="0.25">
      <c r="A6" s="139">
        <f>MIN(F6:J6)</f>
        <v>1.021692981460814</v>
      </c>
      <c r="B6" s="139">
        <f>MAX(F6:J6)</f>
        <v>2.9441353191187534</v>
      </c>
      <c r="C6" s="155">
        <f>AVERAGEIF(F6:J6,"&gt;0")</f>
        <v>1.9829141502897838</v>
      </c>
      <c r="D6" s="156">
        <f>_xlfn.AGGREGATE(12,6,F6:J6)</f>
        <v>1.9829141502897838</v>
      </c>
      <c r="E6" s="47" t="s">
        <v>365</v>
      </c>
      <c r="F6" s="71">
        <f>SUM(F10:F11)/F14</f>
        <v>1.021692981460814</v>
      </c>
      <c r="G6" s="71">
        <f t="shared" ref="G6" si="2">SUM(G10:G11)/G14</f>
        <v>2.9441353191187534</v>
      </c>
      <c r="H6" s="162"/>
      <c r="I6" s="162"/>
      <c r="J6" s="162"/>
    </row>
    <row r="7" spans="1:11" ht="13.8" thickBot="1" x14ac:dyDescent="0.3">
      <c r="A7" s="139">
        <f>MIN(F7:J7)</f>
        <v>1.021692981460814</v>
      </c>
      <c r="B7" s="139">
        <f>MAX(F7:J7)</f>
        <v>2.9441353191187534</v>
      </c>
      <c r="C7" s="155">
        <f>AVERAGEIF(F7:J7,"&gt;0")</f>
        <v>1.9829141502897838</v>
      </c>
      <c r="D7" s="156">
        <f>_xlfn.AGGREGATE(12,6,F7:J7)</f>
        <v>1.9829141502897838</v>
      </c>
      <c r="E7" s="49" t="s">
        <v>366</v>
      </c>
      <c r="F7" s="73">
        <f>F11/F14</f>
        <v>1.021692981460814</v>
      </c>
      <c r="G7" s="73">
        <f t="shared" ref="G7" si="3">G11/G14</f>
        <v>2.9441353191187534</v>
      </c>
      <c r="H7" s="163"/>
      <c r="I7" s="163"/>
      <c r="J7" s="163"/>
    </row>
    <row r="8" spans="1:11" x14ac:dyDescent="0.25">
      <c r="F8" s="43"/>
      <c r="G8" s="43"/>
      <c r="H8" s="43"/>
      <c r="I8" s="43"/>
      <c r="J8" s="43"/>
    </row>
    <row r="9" spans="1:11" x14ac:dyDescent="0.25">
      <c r="E9" s="43" t="s">
        <v>289</v>
      </c>
      <c r="F9" s="76">
        <f>F86</f>
        <v>0</v>
      </c>
      <c r="G9" s="76">
        <f t="shared" ref="G9:J9" si="4">G86</f>
        <v>0</v>
      </c>
      <c r="H9" s="76">
        <f t="shared" si="4"/>
        <v>0</v>
      </c>
      <c r="I9" s="76">
        <f t="shared" si="4"/>
        <v>0</v>
      </c>
      <c r="J9" s="76">
        <f t="shared" si="4"/>
        <v>0</v>
      </c>
    </row>
    <row r="10" spans="1:11" x14ac:dyDescent="0.25">
      <c r="E10" s="43" t="s">
        <v>288</v>
      </c>
      <c r="F10" s="76">
        <f>F87</f>
        <v>0</v>
      </c>
      <c r="G10" s="76">
        <f t="shared" ref="G10:J10" si="5">G87</f>
        <v>0</v>
      </c>
      <c r="H10" s="76">
        <f t="shared" si="5"/>
        <v>0</v>
      </c>
      <c r="I10" s="76">
        <f t="shared" si="5"/>
        <v>0</v>
      </c>
      <c r="J10" s="76">
        <f t="shared" si="5"/>
        <v>0</v>
      </c>
    </row>
    <row r="11" spans="1:11" x14ac:dyDescent="0.25">
      <c r="E11" s="43" t="s">
        <v>287</v>
      </c>
      <c r="F11" s="76">
        <f>F85-F86-F87</f>
        <v>24131.53</v>
      </c>
      <c r="G11" s="76">
        <f t="shared" ref="G11:J11" si="6">G85-G86-G87</f>
        <v>15772.94</v>
      </c>
      <c r="H11" s="76">
        <f t="shared" si="6"/>
        <v>3000</v>
      </c>
      <c r="I11" s="76">
        <f t="shared" si="6"/>
        <v>3000</v>
      </c>
      <c r="J11" s="76">
        <f t="shared" si="6"/>
        <v>1800</v>
      </c>
    </row>
    <row r="12" spans="1:11" x14ac:dyDescent="0.25">
      <c r="E12" s="43" t="s">
        <v>290</v>
      </c>
      <c r="F12" s="76"/>
      <c r="G12" s="76"/>
      <c r="H12" s="76"/>
      <c r="I12" s="76"/>
      <c r="J12" s="76"/>
      <c r="K12" s="43" t="s">
        <v>384</v>
      </c>
    </row>
    <row r="13" spans="1:11" x14ac:dyDescent="0.25">
      <c r="E13" s="43" t="s">
        <v>310</v>
      </c>
      <c r="F13" s="76">
        <f>F94</f>
        <v>0</v>
      </c>
      <c r="G13" s="76">
        <f t="shared" ref="G13:J13" si="7">G94</f>
        <v>0</v>
      </c>
      <c r="H13" s="76">
        <f t="shared" si="7"/>
        <v>0</v>
      </c>
      <c r="I13" s="76">
        <f t="shared" si="7"/>
        <v>0</v>
      </c>
      <c r="J13" s="76">
        <f t="shared" si="7"/>
        <v>0</v>
      </c>
    </row>
    <row r="14" spans="1:11" x14ac:dyDescent="0.25">
      <c r="E14" s="43" t="s">
        <v>286</v>
      </c>
      <c r="F14" s="76">
        <f>F93-F94</f>
        <v>23619.16</v>
      </c>
      <c r="G14" s="76">
        <f t="shared" ref="G14:J14" si="8">G93-G94</f>
        <v>5357.41</v>
      </c>
      <c r="H14" s="76">
        <f t="shared" si="8"/>
        <v>0</v>
      </c>
      <c r="I14" s="76">
        <f t="shared" si="8"/>
        <v>0</v>
      </c>
      <c r="J14" s="76">
        <f t="shared" si="8"/>
        <v>0</v>
      </c>
      <c r="K14" s="43" t="s">
        <v>385</v>
      </c>
    </row>
    <row r="15" spans="1:11" x14ac:dyDescent="0.25">
      <c r="E15" s="43" t="s">
        <v>362</v>
      </c>
      <c r="F15" s="76"/>
      <c r="G15" s="76"/>
      <c r="H15" s="76"/>
      <c r="I15" s="76"/>
      <c r="J15" s="76"/>
      <c r="K15" s="43" t="s">
        <v>384</v>
      </c>
    </row>
    <row r="16" spans="1:11" x14ac:dyDescent="0.25">
      <c r="F16" s="43"/>
      <c r="G16" s="43"/>
      <c r="H16" s="43"/>
      <c r="I16" s="43"/>
      <c r="J16" s="43"/>
    </row>
    <row r="17" spans="1:10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5">
      <c r="E18" s="44" t="s">
        <v>292</v>
      </c>
      <c r="F18" s="45"/>
      <c r="G18" s="45"/>
      <c r="H18" s="45"/>
      <c r="I18" s="45"/>
      <c r="J18" s="45"/>
    </row>
    <row r="19" spans="1:10" x14ac:dyDescent="0.25">
      <c r="A19" s="152">
        <f t="shared" ref="A19:A25" si="9">MIN(F19:J19)</f>
        <v>0</v>
      </c>
      <c r="B19" s="152">
        <f t="shared" ref="B19:B25" si="10">MAX(F19:J19)</f>
        <v>0</v>
      </c>
      <c r="C19" s="156">
        <f t="shared" ref="C19:C25" si="11">AVERAGE(F19:J19)</f>
        <v>0</v>
      </c>
      <c r="D19" s="156">
        <f t="shared" ref="D19:D25" si="12">MEDIAN(F19:J19)</f>
        <v>0</v>
      </c>
      <c r="E19" s="47" t="s">
        <v>293</v>
      </c>
      <c r="F19" s="71">
        <f>F28/(F27/365)</f>
        <v>0</v>
      </c>
      <c r="G19" s="71">
        <f t="shared" ref="G19" si="13">G28/(G27/365)</f>
        <v>0</v>
      </c>
      <c r="H19" s="71"/>
      <c r="I19" s="71"/>
      <c r="J19" s="71"/>
    </row>
    <row r="20" spans="1:10" x14ac:dyDescent="0.25">
      <c r="A20" s="152">
        <f t="shared" si="9"/>
        <v>0</v>
      </c>
      <c r="B20" s="152">
        <f t="shared" si="10"/>
        <v>0</v>
      </c>
      <c r="C20" s="156">
        <f t="shared" si="11"/>
        <v>0</v>
      </c>
      <c r="D20" s="156">
        <f t="shared" si="12"/>
        <v>0</v>
      </c>
      <c r="E20" s="121" t="s">
        <v>367</v>
      </c>
      <c r="F20" s="71">
        <f>F29/(F27/365)</f>
        <v>0</v>
      </c>
      <c r="G20" s="71">
        <f t="shared" ref="G20" si="14">G29/(G27/365)</f>
        <v>0</v>
      </c>
      <c r="H20" s="71"/>
      <c r="I20" s="71"/>
      <c r="J20" s="71"/>
    </row>
    <row r="21" spans="1:10" x14ac:dyDescent="0.25">
      <c r="A21" s="152">
        <f t="shared" si="9"/>
        <v>42.282774226880882</v>
      </c>
      <c r="B21" s="152">
        <f t="shared" si="10"/>
        <v>55.718895854110272</v>
      </c>
      <c r="C21" s="156">
        <f t="shared" si="11"/>
        <v>49.000835040495573</v>
      </c>
      <c r="D21" s="156">
        <f t="shared" si="12"/>
        <v>49.000835040495573</v>
      </c>
      <c r="E21" s="47" t="s">
        <v>368</v>
      </c>
      <c r="F21" s="71">
        <f>F30/(F27/365)</f>
        <v>42.282774226880882</v>
      </c>
      <c r="G21" s="71">
        <f t="shared" ref="G21" si="15">G30/(G27/365)</f>
        <v>55.718895854110272</v>
      </c>
      <c r="H21" s="71"/>
      <c r="I21" s="71"/>
      <c r="J21" s="71"/>
    </row>
    <row r="22" spans="1:10" x14ac:dyDescent="0.25">
      <c r="A22" s="152">
        <f t="shared" si="9"/>
        <v>-55.718895854110272</v>
      </c>
      <c r="B22" s="152">
        <f t="shared" si="10"/>
        <v>-42.282774226880882</v>
      </c>
      <c r="C22" s="156">
        <f t="shared" si="11"/>
        <v>-49.000835040495573</v>
      </c>
      <c r="D22" s="156">
        <f t="shared" si="12"/>
        <v>-49.000835040495573</v>
      </c>
      <c r="E22" s="47" t="s">
        <v>294</v>
      </c>
      <c r="F22" s="71">
        <f>F19+F20-F21</f>
        <v>-42.282774226880882</v>
      </c>
      <c r="G22" s="71">
        <f t="shared" ref="G22" si="16">G19+G20-G21</f>
        <v>-55.718895854110272</v>
      </c>
      <c r="H22" s="71"/>
      <c r="I22" s="71"/>
      <c r="J22" s="71"/>
    </row>
    <row r="23" spans="1:10" x14ac:dyDescent="0.25">
      <c r="A23" s="152">
        <f t="shared" si="9"/>
        <v>0</v>
      </c>
      <c r="B23" s="152">
        <f t="shared" si="10"/>
        <v>5.6743762372490121</v>
      </c>
      <c r="C23" s="156">
        <f t="shared" si="11"/>
        <v>1.5798778912181803</v>
      </c>
      <c r="D23" s="156">
        <f t="shared" si="12"/>
        <v>0</v>
      </c>
      <c r="E23" s="47" t="s">
        <v>295</v>
      </c>
      <c r="F23" s="71">
        <f>F27/F31</f>
        <v>5.6743762372490121</v>
      </c>
      <c r="G23" s="71">
        <f t="shared" ref="G23:J23" si="17">G27/G31</f>
        <v>2.2250132188418901</v>
      </c>
      <c r="H23" s="71">
        <f t="shared" si="17"/>
        <v>0</v>
      </c>
      <c r="I23" s="71">
        <f t="shared" si="17"/>
        <v>0</v>
      </c>
      <c r="J23" s="71">
        <f t="shared" si="17"/>
        <v>0</v>
      </c>
    </row>
    <row r="24" spans="1:10" x14ac:dyDescent="0.25">
      <c r="A24" s="152">
        <f t="shared" si="9"/>
        <v>17.278730508474574</v>
      </c>
      <c r="B24" s="152">
        <f t="shared" si="10"/>
        <v>17.278730508474574</v>
      </c>
      <c r="C24" s="156">
        <f t="shared" si="11"/>
        <v>17.278730508474574</v>
      </c>
      <c r="D24" s="156">
        <f t="shared" si="12"/>
        <v>17.278730508474574</v>
      </c>
      <c r="E24" s="121" t="s">
        <v>369</v>
      </c>
      <c r="F24" s="71">
        <f>F27/F32</f>
        <v>17.278730508474574</v>
      </c>
      <c r="G24" s="71"/>
      <c r="H24" s="71"/>
      <c r="I24" s="71"/>
      <c r="J24" s="71"/>
    </row>
    <row r="25" spans="1:10" ht="13.8" thickBot="1" x14ac:dyDescent="0.3">
      <c r="A25" s="152">
        <f t="shared" si="9"/>
        <v>0</v>
      </c>
      <c r="B25" s="152">
        <f t="shared" si="10"/>
        <v>8.4490714016061137</v>
      </c>
      <c r="C25" s="156">
        <f t="shared" si="11"/>
        <v>2.1348169240896007</v>
      </c>
      <c r="D25" s="156">
        <f t="shared" si="12"/>
        <v>0</v>
      </c>
      <c r="E25" s="49" t="s">
        <v>296</v>
      </c>
      <c r="F25" s="73">
        <f>F27/F33</f>
        <v>8.4490714016061137</v>
      </c>
      <c r="G25" s="73">
        <f t="shared" ref="G25:J25" si="18">G27/G33</f>
        <v>2.2250132188418901</v>
      </c>
      <c r="H25" s="73">
        <f t="shared" si="18"/>
        <v>0</v>
      </c>
      <c r="I25" s="73">
        <f t="shared" si="18"/>
        <v>0</v>
      </c>
      <c r="J25" s="73">
        <f t="shared" si="18"/>
        <v>0</v>
      </c>
    </row>
    <row r="26" spans="1:10" x14ac:dyDescent="0.25">
      <c r="C26" s="155"/>
      <c r="D26" s="156"/>
      <c r="F26" s="43"/>
      <c r="G26" s="43"/>
      <c r="H26" s="43"/>
      <c r="I26" s="43"/>
      <c r="J26" s="43"/>
    </row>
    <row r="27" spans="1:10" x14ac:dyDescent="0.25">
      <c r="E27" s="43" t="s">
        <v>304</v>
      </c>
      <c r="F27" s="76">
        <f>F96</f>
        <v>203889.02</v>
      </c>
      <c r="G27" s="76">
        <f t="shared" ref="G27:J27" si="19">G96</f>
        <v>35095</v>
      </c>
      <c r="H27" s="76">
        <f t="shared" si="19"/>
        <v>0</v>
      </c>
      <c r="I27" s="76">
        <f t="shared" si="19"/>
        <v>0</v>
      </c>
      <c r="J27" s="76">
        <f t="shared" si="19"/>
        <v>0</v>
      </c>
    </row>
    <row r="28" spans="1:10" x14ac:dyDescent="0.25">
      <c r="E28" s="43" t="s">
        <v>305</v>
      </c>
      <c r="F28" s="76">
        <f>F87</f>
        <v>0</v>
      </c>
      <c r="G28" s="76">
        <f t="shared" ref="G28:J28" si="20">G87</f>
        <v>0</v>
      </c>
      <c r="H28" s="76">
        <f t="shared" si="20"/>
        <v>0</v>
      </c>
      <c r="I28" s="76">
        <f t="shared" si="20"/>
        <v>0</v>
      </c>
      <c r="J28" s="76">
        <f t="shared" si="20"/>
        <v>0</v>
      </c>
    </row>
    <row r="29" spans="1:10" x14ac:dyDescent="0.25">
      <c r="E29" s="43" t="s">
        <v>306</v>
      </c>
      <c r="F29" s="76">
        <f>F86</f>
        <v>0</v>
      </c>
      <c r="G29" s="76">
        <f t="shared" ref="G29:J29" si="21">G86</f>
        <v>0</v>
      </c>
      <c r="H29" s="76">
        <f t="shared" si="21"/>
        <v>0</v>
      </c>
      <c r="I29" s="76">
        <f t="shared" si="21"/>
        <v>0</v>
      </c>
      <c r="J29" s="76">
        <f t="shared" si="21"/>
        <v>0</v>
      </c>
    </row>
    <row r="30" spans="1:10" x14ac:dyDescent="0.25">
      <c r="E30" s="43" t="s">
        <v>307</v>
      </c>
      <c r="F30" s="76">
        <f>F93-F94</f>
        <v>23619.16</v>
      </c>
      <c r="G30" s="76">
        <f t="shared" ref="G30:J30" si="22">G93-G94</f>
        <v>5357.41</v>
      </c>
      <c r="H30" s="76">
        <f t="shared" si="22"/>
        <v>0</v>
      </c>
      <c r="I30" s="76">
        <f t="shared" si="22"/>
        <v>0</v>
      </c>
      <c r="J30" s="76">
        <f t="shared" si="22"/>
        <v>0</v>
      </c>
    </row>
    <row r="31" spans="1:10" x14ac:dyDescent="0.25">
      <c r="E31" s="43" t="s">
        <v>303</v>
      </c>
      <c r="F31" s="76">
        <f>F90</f>
        <v>35931.53</v>
      </c>
      <c r="G31" s="76">
        <f t="shared" ref="G31:J31" si="23">G90</f>
        <v>15772.94</v>
      </c>
      <c r="H31" s="76">
        <f t="shared" si="23"/>
        <v>3000</v>
      </c>
      <c r="I31" s="76">
        <f t="shared" si="23"/>
        <v>3000</v>
      </c>
      <c r="J31" s="76">
        <f t="shared" si="23"/>
        <v>1800</v>
      </c>
    </row>
    <row r="32" spans="1:10" x14ac:dyDescent="0.25">
      <c r="E32" s="43" t="s">
        <v>308</v>
      </c>
      <c r="F32" s="76">
        <f>F84</f>
        <v>11800</v>
      </c>
      <c r="G32" s="76">
        <f t="shared" ref="G32:J32" si="24">G84</f>
        <v>0</v>
      </c>
      <c r="H32" s="76">
        <f t="shared" si="24"/>
        <v>0</v>
      </c>
      <c r="I32" s="76">
        <f t="shared" si="24"/>
        <v>0</v>
      </c>
      <c r="J32" s="76">
        <f t="shared" si="24"/>
        <v>0</v>
      </c>
    </row>
    <row r="33" spans="1:11" x14ac:dyDescent="0.25">
      <c r="E33" s="43" t="s">
        <v>309</v>
      </c>
      <c r="F33" s="76">
        <f>F85</f>
        <v>24131.53</v>
      </c>
      <c r="G33" s="76">
        <f t="shared" ref="G33:J33" si="25">G85</f>
        <v>15772.94</v>
      </c>
      <c r="H33" s="76">
        <f t="shared" si="25"/>
        <v>3000</v>
      </c>
      <c r="I33" s="76">
        <f t="shared" si="25"/>
        <v>3000</v>
      </c>
      <c r="J33" s="76">
        <f t="shared" si="25"/>
        <v>1800</v>
      </c>
    </row>
    <row r="34" spans="1:11" x14ac:dyDescent="0.25">
      <c r="F34" s="43"/>
      <c r="G34" s="43"/>
      <c r="H34" s="43"/>
      <c r="I34" s="43"/>
      <c r="J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1" x14ac:dyDescent="0.25">
      <c r="E36" s="125" t="s">
        <v>297</v>
      </c>
      <c r="F36" s="130"/>
      <c r="G36" s="45"/>
      <c r="H36" s="45"/>
      <c r="I36" s="45"/>
      <c r="J36" s="45"/>
    </row>
    <row r="37" spans="1:11" x14ac:dyDescent="0.25">
      <c r="A37" s="139">
        <f>MIN(F37:J37)</f>
        <v>0</v>
      </c>
      <c r="B37" s="139">
        <f>MAX(F37:J37)</f>
        <v>0.65733799813144611</v>
      </c>
      <c r="C37" s="160">
        <f>AVERAGE(F37:J37)</f>
        <v>0.19939925979871109</v>
      </c>
      <c r="D37" s="160">
        <f>MEDIAN(F37:J37)</f>
        <v>0</v>
      </c>
      <c r="E37" s="126" t="s">
        <v>370</v>
      </c>
      <c r="F37" s="131">
        <f>F43/F44*100%</f>
        <v>0.65733799813144611</v>
      </c>
      <c r="G37" s="124">
        <f t="shared" ref="G37:J37" si="26">G43/G44*100%</f>
        <v>0.33965830086210941</v>
      </c>
      <c r="H37" s="124">
        <f t="shared" si="26"/>
        <v>0</v>
      </c>
      <c r="I37" s="124">
        <f t="shared" si="26"/>
        <v>0</v>
      </c>
      <c r="J37" s="124">
        <f t="shared" si="26"/>
        <v>0</v>
      </c>
    </row>
    <row r="38" spans="1:11" x14ac:dyDescent="0.25">
      <c r="A38" s="139">
        <f>MIN(F38:J38)</f>
        <v>0</v>
      </c>
      <c r="B38" s="139">
        <f>MAX(F38:J38)</f>
        <v>1.918327665591596</v>
      </c>
      <c r="C38" s="155">
        <f>AVERAGE(F38:J38)</f>
        <v>0.48653903067437254</v>
      </c>
      <c r="D38" s="156">
        <f>MEDIAN(F38:J38)</f>
        <v>0</v>
      </c>
      <c r="E38" s="127" t="s">
        <v>298</v>
      </c>
      <c r="F38" s="133">
        <f>F43/F45</f>
        <v>1.918327665591596</v>
      </c>
      <c r="G38" s="122">
        <f t="shared" ref="G38:J38" si="27">G43/G45</f>
        <v>0.51436748778026653</v>
      </c>
      <c r="H38" s="122">
        <f t="shared" si="27"/>
        <v>0</v>
      </c>
      <c r="I38" s="122">
        <f t="shared" si="27"/>
        <v>0</v>
      </c>
      <c r="J38" s="122">
        <f t="shared" si="27"/>
        <v>0</v>
      </c>
    </row>
    <row r="39" spans="1:11" x14ac:dyDescent="0.25">
      <c r="A39" s="139">
        <f>MIN(F39:J39)</f>
        <v>1</v>
      </c>
      <c r="B39" s="139">
        <f>MAX(F39:J39)</f>
        <v>2.9183276655915957</v>
      </c>
      <c r="C39" s="155">
        <f>AVERAGE(F39:J39)</f>
        <v>1.4865390306743724</v>
      </c>
      <c r="D39" s="156">
        <f>MEDIAN(F39:J39)</f>
        <v>1</v>
      </c>
      <c r="E39" s="127" t="s">
        <v>299</v>
      </c>
      <c r="F39" s="133">
        <f>F44/F45</f>
        <v>2.9183276655915957</v>
      </c>
      <c r="G39" s="122">
        <f t="shared" ref="G39:J39" si="28">G44/G45</f>
        <v>1.5143674877802666</v>
      </c>
      <c r="H39" s="122">
        <f t="shared" si="28"/>
        <v>1</v>
      </c>
      <c r="I39" s="122">
        <f t="shared" si="28"/>
        <v>1</v>
      </c>
      <c r="J39" s="122">
        <f t="shared" si="28"/>
        <v>1</v>
      </c>
    </row>
    <row r="40" spans="1:11" x14ac:dyDescent="0.25">
      <c r="A40" s="139">
        <f>MIN(F40:J40)</f>
        <v>0</v>
      </c>
      <c r="B40" s="139">
        <f>MAX(F40:J40)</f>
        <v>0</v>
      </c>
      <c r="C40" s="160">
        <f>AVERAGE(F40:J40)</f>
        <v>0</v>
      </c>
      <c r="D40" s="160">
        <f>MEDIAN(F40:J40)</f>
        <v>0</v>
      </c>
      <c r="E40" s="128" t="s">
        <v>371</v>
      </c>
      <c r="F40" s="131">
        <f>F46/F44*100%</f>
        <v>0</v>
      </c>
      <c r="G40" s="124">
        <f t="shared" ref="G40:J40" si="29">G46/G44*100%</f>
        <v>0</v>
      </c>
      <c r="H40" s="124">
        <f t="shared" si="29"/>
        <v>0</v>
      </c>
      <c r="I40" s="124">
        <f t="shared" si="29"/>
        <v>0</v>
      </c>
      <c r="J40" s="124">
        <f t="shared" si="29"/>
        <v>0</v>
      </c>
    </row>
    <row r="41" spans="1:11" ht="13.8" thickBot="1" x14ac:dyDescent="0.3">
      <c r="A41" s="139">
        <f>MIN(F41:J41)</f>
        <v>0</v>
      </c>
      <c r="B41" s="139">
        <f>MAX(F41:J41)</f>
        <v>0</v>
      </c>
      <c r="C41" s="155" t="e">
        <f>AVERAGE(F41:J41)</f>
        <v>#DIV/0!</v>
      </c>
      <c r="D41" s="156" t="e">
        <f>MEDIAN(F41:J41)</f>
        <v>#NUM!</v>
      </c>
      <c r="E41" s="129" t="s">
        <v>300</v>
      </c>
      <c r="F41" s="172"/>
      <c r="G41" s="171"/>
      <c r="H41" s="171"/>
      <c r="I41" s="171"/>
      <c r="J41" s="171"/>
    </row>
    <row r="42" spans="1:11" x14ac:dyDescent="0.25">
      <c r="F42" s="43"/>
      <c r="G42" s="43"/>
      <c r="H42" s="43"/>
      <c r="I42" s="43"/>
      <c r="J42" s="43"/>
    </row>
    <row r="43" spans="1:11" x14ac:dyDescent="0.25">
      <c r="E43" s="43" t="s">
        <v>318</v>
      </c>
      <c r="F43" s="76">
        <f>F93-F94</f>
        <v>23619.16</v>
      </c>
      <c r="G43" s="76">
        <f t="shared" ref="G43:J43" si="30">G93-G94</f>
        <v>5357.41</v>
      </c>
      <c r="H43" s="76">
        <f t="shared" si="30"/>
        <v>0</v>
      </c>
      <c r="I43" s="76">
        <f t="shared" si="30"/>
        <v>0</v>
      </c>
      <c r="J43" s="76">
        <f t="shared" si="30"/>
        <v>0</v>
      </c>
    </row>
    <row r="44" spans="1:11" x14ac:dyDescent="0.25">
      <c r="E44" s="43" t="s">
        <v>303</v>
      </c>
      <c r="F44" s="76">
        <f>F90</f>
        <v>35931.53</v>
      </c>
      <c r="G44" s="76">
        <f t="shared" ref="G44:J44" si="31">G90</f>
        <v>15772.94</v>
      </c>
      <c r="H44" s="76">
        <f t="shared" si="31"/>
        <v>3000</v>
      </c>
      <c r="I44" s="76">
        <f t="shared" si="31"/>
        <v>3000</v>
      </c>
      <c r="J44" s="76">
        <f t="shared" si="31"/>
        <v>1800</v>
      </c>
    </row>
    <row r="45" spans="1:11" x14ac:dyDescent="0.25">
      <c r="E45" s="43" t="s">
        <v>311</v>
      </c>
      <c r="F45" s="76">
        <f>F91</f>
        <v>12312.37</v>
      </c>
      <c r="G45" s="76">
        <f t="shared" ref="G45:J45" si="32">G91</f>
        <v>10415.530000000001</v>
      </c>
      <c r="H45" s="76">
        <f t="shared" si="32"/>
        <v>3000</v>
      </c>
      <c r="I45" s="76">
        <f t="shared" si="32"/>
        <v>3000</v>
      </c>
      <c r="J45" s="76">
        <f t="shared" si="32"/>
        <v>1800</v>
      </c>
    </row>
    <row r="46" spans="1:11" x14ac:dyDescent="0.25">
      <c r="E46" s="43" t="s">
        <v>312</v>
      </c>
      <c r="F46" s="76"/>
      <c r="G46" s="76"/>
      <c r="H46" s="76"/>
      <c r="I46" s="76"/>
      <c r="J46" s="76"/>
    </row>
    <row r="47" spans="1:11" x14ac:dyDescent="0.25">
      <c r="E47" s="43" t="s">
        <v>313</v>
      </c>
      <c r="F47" s="76">
        <f>F108+F107</f>
        <v>1743.84</v>
      </c>
      <c r="G47" s="76">
        <f t="shared" ref="G47:J47" si="33">G108+G107</f>
        <v>7489.53</v>
      </c>
      <c r="H47" s="76">
        <f t="shared" si="33"/>
        <v>0</v>
      </c>
      <c r="I47" s="76">
        <f t="shared" si="33"/>
        <v>0</v>
      </c>
      <c r="J47" s="76">
        <f t="shared" si="33"/>
        <v>0</v>
      </c>
      <c r="K47" s="43" t="s">
        <v>386</v>
      </c>
    </row>
    <row r="48" spans="1:11" x14ac:dyDescent="0.25">
      <c r="E48" s="43" t="s">
        <v>314</v>
      </c>
      <c r="F48" s="76"/>
      <c r="G48" s="76"/>
      <c r="H48" s="76"/>
      <c r="I48" s="76"/>
      <c r="J48" s="76"/>
      <c r="K48" s="43" t="s">
        <v>384</v>
      </c>
    </row>
    <row r="49" spans="1:10" x14ac:dyDescent="0.25">
      <c r="F49" s="43"/>
      <c r="G49" s="43"/>
      <c r="H49" s="43"/>
      <c r="I49" s="43"/>
      <c r="J49" s="43"/>
    </row>
    <row r="50" spans="1:10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5">
      <c r="E51" s="125" t="s">
        <v>301</v>
      </c>
      <c r="F51" s="130"/>
      <c r="G51" s="45"/>
      <c r="H51" s="45"/>
      <c r="I51" s="45"/>
      <c r="J51" s="45"/>
    </row>
    <row r="52" spans="1:10" x14ac:dyDescent="0.25">
      <c r="A52" s="139">
        <f t="shared" ref="A52:A63" si="34">MIN(F52:J52)</f>
        <v>4.0862405204698561E-3</v>
      </c>
      <c r="B52" s="139">
        <f t="shared" ref="B52:B63" si="35">MAX(F52:J52)</f>
        <v>0.21340732298048151</v>
      </c>
      <c r="C52" s="160">
        <f t="shared" ref="C52:C63" si="36">AVERAGE(F52:J52)</f>
        <v>0.10874678175047568</v>
      </c>
      <c r="D52" s="160">
        <f t="shared" ref="D52:D63" si="37">MEDIAN(F52:J52)</f>
        <v>0.10874678175047568</v>
      </c>
      <c r="E52" s="127" t="s">
        <v>350</v>
      </c>
      <c r="F52" s="131">
        <f t="shared" ref="F52:G52" si="38">(F65/(F70+F71))*100%</f>
        <v>4.0862405204698561E-3</v>
      </c>
      <c r="G52" s="124">
        <f t="shared" si="38"/>
        <v>0.21340732298048151</v>
      </c>
      <c r="H52" s="169"/>
      <c r="I52" s="169"/>
      <c r="J52" s="169"/>
    </row>
    <row r="53" spans="1:10" x14ac:dyDescent="0.25">
      <c r="A53" s="139">
        <f t="shared" si="34"/>
        <v>-1.0828251075021107</v>
      </c>
      <c r="B53" s="139">
        <f t="shared" si="35"/>
        <v>0.21340732298048151</v>
      </c>
      <c r="C53" s="160">
        <f t="shared" si="36"/>
        <v>-0.43470889226081461</v>
      </c>
      <c r="D53" s="160">
        <f t="shared" si="37"/>
        <v>-0.43470889226081455</v>
      </c>
      <c r="E53" s="127" t="s">
        <v>351</v>
      </c>
      <c r="F53" s="131">
        <f>(F66/F70)*100%</f>
        <v>-1.0828251075021107</v>
      </c>
      <c r="G53" s="124">
        <f t="shared" ref="G53" si="39">(G66/G70)*100%</f>
        <v>0.21340732298048151</v>
      </c>
      <c r="H53" s="169"/>
      <c r="I53" s="169"/>
      <c r="J53" s="169"/>
    </row>
    <row r="54" spans="1:10" x14ac:dyDescent="0.25">
      <c r="A54" s="139">
        <f t="shared" si="34"/>
        <v>0</v>
      </c>
      <c r="B54" s="139">
        <f t="shared" si="35"/>
        <v>0</v>
      </c>
      <c r="C54" s="160" t="e">
        <f t="shared" si="36"/>
        <v>#DIV/0!</v>
      </c>
      <c r="D54" s="160" t="e">
        <f t="shared" si="37"/>
        <v>#NUM!</v>
      </c>
      <c r="E54" s="127" t="s">
        <v>342</v>
      </c>
      <c r="F54" s="168"/>
      <c r="G54" s="169"/>
      <c r="H54" s="169"/>
      <c r="I54" s="169"/>
      <c r="J54" s="169"/>
    </row>
    <row r="55" spans="1:10" x14ac:dyDescent="0.25">
      <c r="A55" s="139">
        <f t="shared" si="34"/>
        <v>0</v>
      </c>
      <c r="B55" s="139">
        <f t="shared" si="35"/>
        <v>0</v>
      </c>
      <c r="C55" s="160" t="e">
        <f t="shared" si="36"/>
        <v>#DIV/0!</v>
      </c>
      <c r="D55" s="160" t="e">
        <f t="shared" si="37"/>
        <v>#NUM!</v>
      </c>
      <c r="E55" s="127" t="s">
        <v>343</v>
      </c>
      <c r="F55" s="168"/>
      <c r="G55" s="169"/>
      <c r="H55" s="169"/>
      <c r="I55" s="169"/>
      <c r="J55" s="169"/>
    </row>
    <row r="56" spans="1:10" x14ac:dyDescent="0.25">
      <c r="A56" s="139">
        <f t="shared" si="34"/>
        <v>0</v>
      </c>
      <c r="B56" s="139">
        <f t="shared" si="35"/>
        <v>0</v>
      </c>
      <c r="C56" s="160" t="e">
        <f t="shared" si="36"/>
        <v>#DIV/0!</v>
      </c>
      <c r="D56" s="160" t="e">
        <f t="shared" si="37"/>
        <v>#NUM!</v>
      </c>
      <c r="E56" s="127" t="s">
        <v>344</v>
      </c>
      <c r="F56" s="168"/>
      <c r="G56" s="169"/>
      <c r="H56" s="169"/>
      <c r="I56" s="169"/>
      <c r="J56" s="169"/>
    </row>
    <row r="57" spans="1:10" x14ac:dyDescent="0.25">
      <c r="A57" s="139">
        <f t="shared" si="34"/>
        <v>0</v>
      </c>
      <c r="B57" s="139">
        <f t="shared" si="35"/>
        <v>0</v>
      </c>
      <c r="C57" s="160" t="e">
        <f t="shared" si="36"/>
        <v>#DIV/0!</v>
      </c>
      <c r="D57" s="160" t="e">
        <f t="shared" si="37"/>
        <v>#NUM!</v>
      </c>
      <c r="E57" s="127" t="s">
        <v>346</v>
      </c>
      <c r="F57" s="168"/>
      <c r="G57" s="169"/>
      <c r="H57" s="169"/>
      <c r="I57" s="169"/>
      <c r="J57" s="169"/>
    </row>
    <row r="58" spans="1:10" x14ac:dyDescent="0.25">
      <c r="A58" s="139">
        <f t="shared" si="34"/>
        <v>4.0862405204698422E-3</v>
      </c>
      <c r="B58" s="139">
        <f t="shared" si="35"/>
        <v>0.21340732298048154</v>
      </c>
      <c r="C58" s="155">
        <f t="shared" si="36"/>
        <v>0.1087467817504757</v>
      </c>
      <c r="D58" s="156">
        <f t="shared" si="37"/>
        <v>0.10874678175047568</v>
      </c>
      <c r="E58" s="127" t="s">
        <v>356</v>
      </c>
      <c r="F58" s="133">
        <f>F68/(F70+F71+F72+F73+F74+F75)</f>
        <v>4.0862405204698422E-3</v>
      </c>
      <c r="G58" s="122">
        <f t="shared" ref="G58" si="40">G68/(G70+G71+G72+G73+G74)</f>
        <v>0.21340732298048154</v>
      </c>
      <c r="H58" s="173"/>
      <c r="I58" s="173"/>
      <c r="J58" s="173"/>
    </row>
    <row r="59" spans="1:10" x14ac:dyDescent="0.25">
      <c r="A59" s="139">
        <f t="shared" si="34"/>
        <v>3.7417838291970954E-3</v>
      </c>
      <c r="B59" s="139">
        <f t="shared" si="35"/>
        <v>0.19420230802108562</v>
      </c>
      <c r="C59" s="155">
        <f t="shared" si="36"/>
        <v>9.8972045925141361E-2</v>
      </c>
      <c r="D59" s="156">
        <f t="shared" si="37"/>
        <v>9.8972045925141361E-2</v>
      </c>
      <c r="E59" s="127" t="s">
        <v>361</v>
      </c>
      <c r="F59" s="133">
        <f>F69/(F70+F71+F72+F73+F74+F75)</f>
        <v>3.7417838291970954E-3</v>
      </c>
      <c r="G59" s="122">
        <f t="shared" ref="G59" si="41">G69/(G70+G71+G72+G73+G74+G75)</f>
        <v>0.19420230802108562</v>
      </c>
      <c r="H59" s="173"/>
      <c r="I59" s="173"/>
      <c r="J59" s="173"/>
    </row>
    <row r="60" spans="1:10" ht="26.4" x14ac:dyDescent="0.25">
      <c r="A60" s="139">
        <f t="shared" si="34"/>
        <v>0</v>
      </c>
      <c r="B60" s="139">
        <f t="shared" si="35"/>
        <v>0.47483411462923197</v>
      </c>
      <c r="C60" s="160">
        <f t="shared" si="36"/>
        <v>0.10467328407570561</v>
      </c>
      <c r="D60" s="160">
        <f t="shared" si="37"/>
        <v>0</v>
      </c>
      <c r="E60" s="127" t="s">
        <v>372</v>
      </c>
      <c r="F60" s="131">
        <f>F65/F79*100%</f>
        <v>4.8532305749296116E-2</v>
      </c>
      <c r="G60" s="124">
        <f t="shared" ref="G60:J60" si="42">G65/G79*100%</f>
        <v>0.47483411462923197</v>
      </c>
      <c r="H60" s="124">
        <f t="shared" si="42"/>
        <v>0</v>
      </c>
      <c r="I60" s="124">
        <f t="shared" si="42"/>
        <v>0</v>
      </c>
      <c r="J60" s="124">
        <f t="shared" si="42"/>
        <v>0</v>
      </c>
    </row>
    <row r="61" spans="1:10" x14ac:dyDescent="0.25">
      <c r="A61" s="139">
        <f t="shared" si="34"/>
        <v>0</v>
      </c>
      <c r="B61" s="139">
        <f t="shared" si="35"/>
        <v>0.43210270247651988</v>
      </c>
      <c r="C61" s="155">
        <f t="shared" si="36"/>
        <v>9.5308778764033417E-2</v>
      </c>
      <c r="D61" s="156">
        <f t="shared" si="37"/>
        <v>0</v>
      </c>
      <c r="E61" s="127" t="s">
        <v>373</v>
      </c>
      <c r="F61" s="133">
        <f>F69/F79</f>
        <v>4.4441191343647206E-2</v>
      </c>
      <c r="G61" s="122">
        <f t="shared" ref="G61:J61" si="43">G69/G79</f>
        <v>0.43210270247651988</v>
      </c>
      <c r="H61" s="122">
        <f t="shared" si="43"/>
        <v>0</v>
      </c>
      <c r="I61" s="122">
        <f t="shared" si="43"/>
        <v>0</v>
      </c>
      <c r="J61" s="122">
        <f t="shared" si="43"/>
        <v>0</v>
      </c>
    </row>
    <row r="62" spans="1:10" x14ac:dyDescent="0.25">
      <c r="A62" s="139">
        <f t="shared" si="34"/>
        <v>0</v>
      </c>
      <c r="B62" s="139">
        <f t="shared" si="35"/>
        <v>0.71907334528343714</v>
      </c>
      <c r="C62" s="155">
        <f t="shared" si="36"/>
        <v>0.16975346069469049</v>
      </c>
      <c r="D62" s="156">
        <f t="shared" si="37"/>
        <v>0</v>
      </c>
      <c r="E62" s="127" t="s">
        <v>374</v>
      </c>
      <c r="F62" s="133">
        <f>F69/F80</f>
        <v>0.12969395819001539</v>
      </c>
      <c r="G62" s="122">
        <f>G66/G80</f>
        <v>0.71907334528343714</v>
      </c>
      <c r="H62" s="122">
        <f>H66/H80</f>
        <v>0</v>
      </c>
      <c r="I62" s="122">
        <f>I66/I80</f>
        <v>0</v>
      </c>
      <c r="J62" s="122">
        <f>J66/J80</f>
        <v>0</v>
      </c>
    </row>
    <row r="63" spans="1:10" ht="13.8" thickBot="1" x14ac:dyDescent="0.3">
      <c r="A63" s="139">
        <f t="shared" si="34"/>
        <v>0</v>
      </c>
      <c r="B63" s="139">
        <f t="shared" si="35"/>
        <v>0.71907334528343714</v>
      </c>
      <c r="C63" s="155">
        <f t="shared" si="36"/>
        <v>0.17214130316531162</v>
      </c>
      <c r="D63" s="156">
        <f t="shared" si="37"/>
        <v>0</v>
      </c>
      <c r="E63" s="129" t="s">
        <v>302</v>
      </c>
      <c r="F63" s="135">
        <f t="shared" ref="F63:J63" si="44">F65/(F80+F81)</f>
        <v>0.14163317054312091</v>
      </c>
      <c r="G63" s="123">
        <f t="shared" si="44"/>
        <v>0.71907334528343714</v>
      </c>
      <c r="H63" s="123">
        <f t="shared" si="44"/>
        <v>0</v>
      </c>
      <c r="I63" s="123">
        <f t="shared" si="44"/>
        <v>0</v>
      </c>
      <c r="J63" s="123">
        <f t="shared" si="44"/>
        <v>0</v>
      </c>
    </row>
    <row r="64" spans="1:10" x14ac:dyDescent="0.25">
      <c r="F64" s="43"/>
      <c r="G64" s="43"/>
      <c r="H64" s="43"/>
      <c r="I64" s="43"/>
      <c r="J64" s="43"/>
    </row>
    <row r="65" spans="5:11" x14ac:dyDescent="0.25">
      <c r="E65" s="52" t="s">
        <v>360</v>
      </c>
      <c r="F65" s="76">
        <f>F96-F98+F103-F105</f>
        <v>1743.8400000000058</v>
      </c>
      <c r="G65" s="76">
        <f t="shared" ref="G65:J65" si="45">G96-G98+G103-G105</f>
        <v>7489.5299999999988</v>
      </c>
      <c r="H65" s="76">
        <f t="shared" si="45"/>
        <v>0</v>
      </c>
      <c r="I65" s="76">
        <f t="shared" si="45"/>
        <v>0</v>
      </c>
      <c r="J65" s="76">
        <f t="shared" si="45"/>
        <v>0</v>
      </c>
      <c r="K65" s="43" t="s">
        <v>383</v>
      </c>
    </row>
    <row r="66" spans="5:11" ht="26.4" x14ac:dyDescent="0.25">
      <c r="E66" s="52" t="s">
        <v>352</v>
      </c>
      <c r="F66" s="76">
        <f>F96-F98</f>
        <v>-220776.15</v>
      </c>
      <c r="G66" s="76">
        <f t="shared" ref="G66:J66" si="46">G96-G98</f>
        <v>7489.5299999999988</v>
      </c>
      <c r="H66" s="76">
        <f t="shared" si="46"/>
        <v>0</v>
      </c>
      <c r="I66" s="76">
        <f t="shared" si="46"/>
        <v>0</v>
      </c>
      <c r="J66" s="76">
        <f t="shared" si="46"/>
        <v>0</v>
      </c>
    </row>
    <row r="67" spans="5:11" x14ac:dyDescent="0.25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5">
      <c r="E68" s="43" t="s">
        <v>341</v>
      </c>
      <c r="F68" s="76">
        <f>F108+F107</f>
        <v>1743.84</v>
      </c>
      <c r="G68" s="76">
        <f t="shared" ref="G68:J68" si="47">G108+G107</f>
        <v>7489.53</v>
      </c>
      <c r="H68" s="76">
        <f t="shared" si="47"/>
        <v>0</v>
      </c>
      <c r="I68" s="76">
        <f t="shared" si="47"/>
        <v>0</v>
      </c>
      <c r="J68" s="76">
        <f t="shared" si="47"/>
        <v>0</v>
      </c>
    </row>
    <row r="69" spans="5:11" x14ac:dyDescent="0.25">
      <c r="E69" s="43" t="s">
        <v>315</v>
      </c>
      <c r="F69" s="76">
        <f>F108</f>
        <v>1596.84</v>
      </c>
      <c r="G69" s="76">
        <f t="shared" ref="G69:J69" si="48">G108</f>
        <v>6815.53</v>
      </c>
      <c r="H69" s="76">
        <f t="shared" si="48"/>
        <v>0</v>
      </c>
      <c r="I69" s="76">
        <f t="shared" si="48"/>
        <v>0</v>
      </c>
      <c r="J69" s="76">
        <f t="shared" si="48"/>
        <v>0</v>
      </c>
    </row>
    <row r="70" spans="5:11" x14ac:dyDescent="0.25">
      <c r="E70" s="43" t="s">
        <v>358</v>
      </c>
      <c r="F70" s="76">
        <f>F96</f>
        <v>203889.02</v>
      </c>
      <c r="G70" s="76">
        <f t="shared" ref="G70:J70" si="49">G96</f>
        <v>35095</v>
      </c>
      <c r="H70" s="76">
        <f t="shared" si="49"/>
        <v>0</v>
      </c>
      <c r="I70" s="76">
        <f t="shared" si="49"/>
        <v>0</v>
      </c>
      <c r="J70" s="76">
        <f t="shared" si="49"/>
        <v>0</v>
      </c>
    </row>
    <row r="71" spans="5:11" x14ac:dyDescent="0.25">
      <c r="E71" s="43" t="s">
        <v>359</v>
      </c>
      <c r="F71" s="76">
        <f>F103</f>
        <v>222870</v>
      </c>
      <c r="G71" s="76">
        <f t="shared" ref="G71:J71" si="50">G103</f>
        <v>0</v>
      </c>
      <c r="H71" s="76">
        <f t="shared" si="50"/>
        <v>0</v>
      </c>
      <c r="I71" s="76">
        <f t="shared" si="50"/>
        <v>0</v>
      </c>
      <c r="J71" s="76">
        <f t="shared" si="50"/>
        <v>0</v>
      </c>
    </row>
    <row r="72" spans="5:11" x14ac:dyDescent="0.25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5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5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5">
      <c r="E75" s="43" t="s">
        <v>357</v>
      </c>
      <c r="F75" s="76"/>
      <c r="G75" s="76"/>
      <c r="H75" s="76"/>
      <c r="I75" s="76"/>
      <c r="J75" s="76"/>
    </row>
    <row r="76" spans="5:11" x14ac:dyDescent="0.25">
      <c r="E76" s="43" t="s">
        <v>353</v>
      </c>
      <c r="F76" s="76"/>
      <c r="G76" s="76"/>
      <c r="H76" s="76"/>
      <c r="I76" s="76"/>
      <c r="J76" s="76"/>
      <c r="K76" s="43" t="s">
        <v>379</v>
      </c>
    </row>
    <row r="77" spans="5:11" x14ac:dyDescent="0.25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5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5">
      <c r="E79" s="43" t="s">
        <v>316</v>
      </c>
      <c r="F79" s="76">
        <f>F90</f>
        <v>35931.53</v>
      </c>
      <c r="G79" s="76">
        <f t="shared" ref="G79:J79" si="51">G90</f>
        <v>15772.94</v>
      </c>
      <c r="H79" s="76">
        <f t="shared" si="51"/>
        <v>3000</v>
      </c>
      <c r="I79" s="76">
        <f t="shared" si="51"/>
        <v>3000</v>
      </c>
      <c r="J79" s="76">
        <f t="shared" si="51"/>
        <v>1800</v>
      </c>
    </row>
    <row r="80" spans="5:11" x14ac:dyDescent="0.25">
      <c r="E80" s="43" t="s">
        <v>311</v>
      </c>
      <c r="F80" s="76">
        <f>F91</f>
        <v>12312.37</v>
      </c>
      <c r="G80" s="76">
        <f t="shared" ref="G80:J80" si="52">G91</f>
        <v>10415.530000000001</v>
      </c>
      <c r="H80" s="76">
        <f t="shared" si="52"/>
        <v>3000</v>
      </c>
      <c r="I80" s="76">
        <f t="shared" si="52"/>
        <v>3000</v>
      </c>
      <c r="J80" s="76">
        <f t="shared" si="52"/>
        <v>1800</v>
      </c>
    </row>
    <row r="81" spans="5:10" x14ac:dyDescent="0.25">
      <c r="E81" s="43" t="s">
        <v>317</v>
      </c>
      <c r="F81" s="76"/>
      <c r="G81" s="76"/>
      <c r="H81" s="76"/>
      <c r="I81" s="76"/>
      <c r="J81" s="76"/>
    </row>
    <row r="82" spans="5:10" x14ac:dyDescent="0.25">
      <c r="F82" s="43"/>
      <c r="G82" s="43"/>
      <c r="H82" s="43"/>
      <c r="I82" s="43"/>
      <c r="J82" s="43"/>
    </row>
    <row r="83" spans="5:10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</row>
    <row r="84" spans="5:10" x14ac:dyDescent="0.25">
      <c r="E84" s="94" t="s">
        <v>102</v>
      </c>
      <c r="F84" s="97">
        <v>11800</v>
      </c>
      <c r="G84" s="97">
        <v>0</v>
      </c>
      <c r="H84" s="97">
        <v>0</v>
      </c>
      <c r="I84" s="97">
        <v>0</v>
      </c>
      <c r="J84" s="97">
        <v>0</v>
      </c>
    </row>
    <row r="85" spans="5:10" x14ac:dyDescent="0.25">
      <c r="E85" s="94" t="s">
        <v>136</v>
      </c>
      <c r="F85" s="97">
        <v>24131.53</v>
      </c>
      <c r="G85" s="97">
        <v>15772.94</v>
      </c>
      <c r="H85" s="97">
        <v>3000</v>
      </c>
      <c r="I85" s="97">
        <v>3000</v>
      </c>
      <c r="J85" s="97">
        <v>1800</v>
      </c>
    </row>
    <row r="86" spans="5:10" x14ac:dyDescent="0.25">
      <c r="E86" s="94" t="s">
        <v>137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</row>
    <row r="87" spans="5:10" x14ac:dyDescent="0.25">
      <c r="E87" s="94" t="s">
        <v>143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</row>
    <row r="88" spans="5:10" x14ac:dyDescent="0.25">
      <c r="E88" s="94" t="s">
        <v>167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</row>
    <row r="89" spans="5:10" x14ac:dyDescent="0.25">
      <c r="E89" s="94" t="s">
        <v>168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</row>
    <row r="90" spans="5:10" x14ac:dyDescent="0.25">
      <c r="E90" s="94" t="s">
        <v>169</v>
      </c>
      <c r="F90" s="97">
        <v>35931.53</v>
      </c>
      <c r="G90" s="97">
        <v>15772.94</v>
      </c>
      <c r="H90" s="97">
        <v>3000</v>
      </c>
      <c r="I90" s="97">
        <v>3000</v>
      </c>
      <c r="J90" s="97">
        <v>1800</v>
      </c>
    </row>
    <row r="91" spans="5:10" x14ac:dyDescent="0.25">
      <c r="E91" s="94" t="s">
        <v>170</v>
      </c>
      <c r="F91" s="97">
        <v>12312.37</v>
      </c>
      <c r="G91" s="97">
        <v>10415.530000000001</v>
      </c>
      <c r="H91" s="97">
        <v>3000</v>
      </c>
      <c r="I91" s="97">
        <v>3000</v>
      </c>
      <c r="J91" s="97">
        <v>1800</v>
      </c>
    </row>
    <row r="92" spans="5:10" x14ac:dyDescent="0.25">
      <c r="E92" s="94" t="s">
        <v>171</v>
      </c>
      <c r="F92" s="97">
        <v>3800</v>
      </c>
      <c r="G92" s="97">
        <v>3600</v>
      </c>
      <c r="H92" s="97">
        <v>3000</v>
      </c>
      <c r="I92" s="97">
        <v>3000</v>
      </c>
      <c r="J92" s="97">
        <v>1800</v>
      </c>
    </row>
    <row r="93" spans="5:10" x14ac:dyDescent="0.25">
      <c r="E93" s="94" t="s">
        <v>182</v>
      </c>
      <c r="F93" s="97">
        <v>23619.16</v>
      </c>
      <c r="G93" s="97">
        <v>5357.41</v>
      </c>
      <c r="H93" s="97">
        <v>0</v>
      </c>
      <c r="I93" s="97">
        <v>0</v>
      </c>
      <c r="J93" s="97">
        <v>0</v>
      </c>
    </row>
    <row r="94" spans="5:10" x14ac:dyDescent="0.25">
      <c r="E94" s="94" t="s">
        <v>183</v>
      </c>
      <c r="F94" s="97">
        <v>0</v>
      </c>
      <c r="G94" s="97">
        <v>0</v>
      </c>
      <c r="H94" s="97">
        <v>0</v>
      </c>
      <c r="I94" s="97">
        <v>0</v>
      </c>
      <c r="J94" s="97">
        <v>0</v>
      </c>
    </row>
    <row r="95" spans="5:10" x14ac:dyDescent="0.25">
      <c r="E95" s="94" t="s">
        <v>212</v>
      </c>
      <c r="F95" s="97">
        <v>35931.53</v>
      </c>
      <c r="G95" s="97">
        <v>15772.94</v>
      </c>
      <c r="H95" s="97">
        <v>3000</v>
      </c>
      <c r="I95" s="97">
        <v>3000</v>
      </c>
      <c r="J95" s="97">
        <v>1800</v>
      </c>
    </row>
    <row r="96" spans="5:10" x14ac:dyDescent="0.25">
      <c r="E96" s="141" t="s">
        <v>213</v>
      </c>
      <c r="F96" s="97">
        <v>203889.02</v>
      </c>
      <c r="G96" s="97">
        <v>35095</v>
      </c>
      <c r="H96" s="97">
        <v>0</v>
      </c>
      <c r="I96" s="97">
        <v>0</v>
      </c>
      <c r="J96" s="97">
        <v>0</v>
      </c>
    </row>
    <row r="97" spans="5:10" x14ac:dyDescent="0.25">
      <c r="E97" s="94" t="s">
        <v>216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</row>
    <row r="98" spans="5:10" x14ac:dyDescent="0.25">
      <c r="E98" s="94" t="s">
        <v>219</v>
      </c>
      <c r="F98" s="97">
        <v>424665.17</v>
      </c>
      <c r="G98" s="97">
        <v>27605.47</v>
      </c>
      <c r="H98" s="97">
        <v>0</v>
      </c>
      <c r="I98" s="97">
        <v>0</v>
      </c>
      <c r="J98" s="97">
        <v>0</v>
      </c>
    </row>
    <row r="99" spans="5:10" x14ac:dyDescent="0.25">
      <c r="E99" s="94" t="s">
        <v>220</v>
      </c>
      <c r="F99" s="97">
        <v>200</v>
      </c>
      <c r="G99" s="97">
        <v>0</v>
      </c>
      <c r="H99" s="97">
        <v>0</v>
      </c>
      <c r="I99" s="97">
        <v>0</v>
      </c>
      <c r="J99" s="97">
        <v>0</v>
      </c>
    </row>
    <row r="100" spans="5:10" x14ac:dyDescent="0.25">
      <c r="E100" s="94" t="s">
        <v>221</v>
      </c>
      <c r="F100" s="97">
        <v>47959.71</v>
      </c>
      <c r="G100" s="97">
        <v>4248</v>
      </c>
      <c r="H100" s="97">
        <v>0</v>
      </c>
      <c r="I100" s="97">
        <v>0</v>
      </c>
      <c r="J100" s="97">
        <v>0</v>
      </c>
    </row>
    <row r="101" spans="5:10" x14ac:dyDescent="0.25">
      <c r="E101" s="94" t="s">
        <v>225</v>
      </c>
      <c r="F101" s="97">
        <v>108298.85</v>
      </c>
      <c r="G101" s="97">
        <v>9605.57</v>
      </c>
      <c r="H101" s="97">
        <v>0</v>
      </c>
      <c r="I101" s="97">
        <v>0</v>
      </c>
      <c r="J101" s="97">
        <v>0</v>
      </c>
    </row>
    <row r="102" spans="5:10" x14ac:dyDescent="0.25">
      <c r="E102" s="94" t="s">
        <v>228</v>
      </c>
      <c r="F102" s="97">
        <v>268206.61</v>
      </c>
      <c r="G102" s="97">
        <v>13751.9</v>
      </c>
      <c r="H102" s="97">
        <v>0</v>
      </c>
      <c r="I102" s="97">
        <v>0</v>
      </c>
      <c r="J102" s="97">
        <v>0</v>
      </c>
    </row>
    <row r="103" spans="5:10" x14ac:dyDescent="0.25">
      <c r="E103" s="94" t="s">
        <v>231</v>
      </c>
      <c r="F103" s="97">
        <v>222870</v>
      </c>
      <c r="G103" s="97">
        <v>0</v>
      </c>
      <c r="H103" s="97">
        <v>0</v>
      </c>
      <c r="I103" s="97">
        <v>0</v>
      </c>
      <c r="J103" s="97">
        <v>0</v>
      </c>
    </row>
    <row r="104" spans="5:10" x14ac:dyDescent="0.25">
      <c r="E104" s="94" t="s">
        <v>234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</row>
    <row r="105" spans="5:10" x14ac:dyDescent="0.25">
      <c r="E105" s="94" t="s">
        <v>236</v>
      </c>
      <c r="F105" s="97">
        <v>350.01</v>
      </c>
      <c r="G105" s="97">
        <v>0</v>
      </c>
      <c r="H105" s="97">
        <v>0</v>
      </c>
      <c r="I105" s="97">
        <v>0</v>
      </c>
      <c r="J105" s="97">
        <v>0</v>
      </c>
    </row>
    <row r="106" spans="5:10" x14ac:dyDescent="0.25">
      <c r="E106" s="94" t="s">
        <v>238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</row>
    <row r="107" spans="5:10" x14ac:dyDescent="0.25">
      <c r="E107" s="94" t="s">
        <v>259</v>
      </c>
      <c r="F107" s="97">
        <v>147</v>
      </c>
      <c r="G107" s="97">
        <v>674</v>
      </c>
      <c r="H107" s="97">
        <v>0</v>
      </c>
      <c r="I107" s="97">
        <v>0</v>
      </c>
      <c r="J107" s="97">
        <v>0</v>
      </c>
    </row>
    <row r="108" spans="5:10" x14ac:dyDescent="0.25">
      <c r="E108" s="94" t="s">
        <v>261</v>
      </c>
      <c r="F108" s="97">
        <v>1596.84</v>
      </c>
      <c r="G108" s="97">
        <v>6815.53</v>
      </c>
      <c r="H108" s="97">
        <v>0</v>
      </c>
      <c r="I108" s="97">
        <v>0</v>
      </c>
      <c r="J108" s="97">
        <v>0</v>
      </c>
    </row>
    <row r="109" spans="5:10" ht="15" customHeight="1" x14ac:dyDescent="0.25">
      <c r="E109" s="98"/>
      <c r="F109" s="97"/>
      <c r="G109" s="97"/>
      <c r="H109" s="97"/>
      <c r="I109" s="97"/>
      <c r="J109" s="97"/>
    </row>
    <row r="110" spans="5:10" ht="15" customHeight="1" x14ac:dyDescent="0.25">
      <c r="E110" s="98"/>
      <c r="F110" s="101"/>
      <c r="G110" s="101"/>
      <c r="H110" s="101"/>
      <c r="I110" s="101"/>
      <c r="J110" s="101"/>
    </row>
    <row r="111" spans="5:10" ht="15" customHeight="1" x14ac:dyDescent="0.25">
      <c r="E111" s="98"/>
      <c r="F111" s="101"/>
      <c r="G111" s="101"/>
      <c r="H111" s="101"/>
      <c r="I111" s="101"/>
      <c r="J111" s="101"/>
    </row>
    <row r="112" spans="5:10" ht="15" customHeight="1" x14ac:dyDescent="0.25">
      <c r="E112" s="98"/>
      <c r="F112" s="101"/>
      <c r="G112" s="101"/>
      <c r="H112" s="101"/>
      <c r="I112" s="101"/>
      <c r="J112" s="101"/>
    </row>
    <row r="113" spans="5:10" ht="15" customHeight="1" x14ac:dyDescent="0.25">
      <c r="E113" s="98"/>
      <c r="F113" s="101"/>
      <c r="G113" s="101"/>
      <c r="H113" s="101"/>
      <c r="I113" s="101"/>
      <c r="J113" s="101"/>
    </row>
    <row r="114" spans="5:10" x14ac:dyDescent="0.25">
      <c r="E114" s="98"/>
      <c r="F114" s="101"/>
      <c r="G114" s="101"/>
      <c r="H114" s="101"/>
      <c r="I114" s="101"/>
      <c r="J114" s="101"/>
    </row>
    <row r="115" spans="5:10" x14ac:dyDescent="0.25">
      <c r="E115" s="98"/>
      <c r="F115" s="101"/>
      <c r="G115" s="101"/>
      <c r="H115" s="101"/>
      <c r="I115" s="101"/>
      <c r="J115" s="101"/>
    </row>
    <row r="116" spans="5:10" ht="15" customHeight="1" x14ac:dyDescent="0.25">
      <c r="E116" s="98"/>
      <c r="F116" s="101"/>
      <c r="G116" s="101"/>
      <c r="H116" s="101"/>
      <c r="I116" s="101"/>
      <c r="J116" s="101"/>
    </row>
    <row r="117" spans="5:10" ht="15" customHeight="1" x14ac:dyDescent="0.25">
      <c r="E117" s="98"/>
      <c r="F117" s="101"/>
      <c r="G117" s="101"/>
      <c r="H117" s="101"/>
      <c r="I117" s="101"/>
      <c r="J117" s="101"/>
    </row>
    <row r="118" spans="5:10" ht="15" customHeight="1" x14ac:dyDescent="0.25">
      <c r="E118" s="98"/>
      <c r="F118" s="101"/>
      <c r="G118" s="101"/>
      <c r="H118" s="101"/>
      <c r="I118" s="101"/>
      <c r="J118" s="101"/>
    </row>
    <row r="119" spans="5:10" ht="15" customHeight="1" x14ac:dyDescent="0.25">
      <c r="E119" s="98"/>
      <c r="F119" s="101"/>
      <c r="G119" s="101"/>
      <c r="H119" s="101"/>
      <c r="I119" s="101"/>
      <c r="J119" s="101"/>
    </row>
    <row r="120" spans="5:10" x14ac:dyDescent="0.25">
      <c r="E120" s="98"/>
      <c r="F120" s="101"/>
      <c r="G120" s="101"/>
      <c r="H120" s="101"/>
      <c r="I120" s="101"/>
      <c r="J120" s="101"/>
    </row>
    <row r="121" spans="5:10" x14ac:dyDescent="0.25">
      <c r="E121" s="98"/>
      <c r="F121" s="103"/>
      <c r="G121" s="103"/>
      <c r="H121" s="103"/>
      <c r="I121" s="103"/>
      <c r="J121" s="103"/>
    </row>
    <row r="122" spans="5:10" x14ac:dyDescent="0.25">
      <c r="E122" s="98"/>
      <c r="F122" s="101"/>
      <c r="G122" s="101"/>
      <c r="H122" s="101"/>
      <c r="I122" s="101"/>
      <c r="J122" s="101"/>
    </row>
    <row r="123" spans="5:10" x14ac:dyDescent="0.25">
      <c r="E123" s="98"/>
      <c r="F123" s="101"/>
      <c r="G123" s="101"/>
      <c r="H123" s="101"/>
      <c r="I123" s="101"/>
      <c r="J123" s="101"/>
    </row>
    <row r="124" spans="5:10" x14ac:dyDescent="0.25">
      <c r="E124" s="98"/>
      <c r="F124" s="101"/>
      <c r="G124" s="101"/>
      <c r="H124" s="101"/>
      <c r="I124" s="101"/>
      <c r="J124" s="101"/>
    </row>
    <row r="125" spans="5:10" ht="15" customHeight="1" x14ac:dyDescent="0.25">
      <c r="E125" s="98"/>
      <c r="F125" s="101"/>
      <c r="G125" s="101"/>
      <c r="H125" s="101"/>
      <c r="I125" s="101"/>
      <c r="J125" s="101"/>
    </row>
    <row r="126" spans="5:10" x14ac:dyDescent="0.25">
      <c r="E126" s="98"/>
      <c r="F126" s="101"/>
      <c r="G126" s="101"/>
      <c r="H126" s="101"/>
      <c r="I126" s="101"/>
      <c r="J126" s="101"/>
    </row>
    <row r="127" spans="5:10" ht="15" customHeight="1" x14ac:dyDescent="0.25">
      <c r="E127" s="98"/>
      <c r="F127" s="101"/>
      <c r="G127" s="101"/>
      <c r="H127" s="101"/>
      <c r="I127" s="101"/>
      <c r="J127" s="101"/>
    </row>
    <row r="128" spans="5:10" ht="15" customHeight="1" x14ac:dyDescent="0.25">
      <c r="E128" s="98"/>
      <c r="F128" s="101"/>
      <c r="G128" s="101"/>
      <c r="H128" s="101"/>
      <c r="I128" s="101"/>
      <c r="J128" s="101"/>
    </row>
    <row r="129" spans="5:10" ht="15" customHeight="1" x14ac:dyDescent="0.25">
      <c r="E129" s="98"/>
      <c r="F129" s="101"/>
      <c r="G129" s="101"/>
      <c r="H129" s="101"/>
      <c r="I129" s="101"/>
      <c r="J129" s="101"/>
    </row>
    <row r="130" spans="5:10" ht="15" customHeight="1" x14ac:dyDescent="0.25">
      <c r="E130" s="98"/>
      <c r="F130" s="101"/>
      <c r="G130" s="101"/>
      <c r="H130" s="101"/>
      <c r="I130" s="101"/>
      <c r="J130" s="101"/>
    </row>
    <row r="131" spans="5:10" ht="15" customHeight="1" x14ac:dyDescent="0.25">
      <c r="E131" s="98"/>
      <c r="F131" s="101"/>
      <c r="G131" s="101"/>
      <c r="H131" s="101"/>
      <c r="I131" s="101"/>
      <c r="J131" s="101"/>
    </row>
    <row r="132" spans="5:10" x14ac:dyDescent="0.25">
      <c r="E132" s="98"/>
      <c r="F132" s="101"/>
      <c r="G132" s="101"/>
      <c r="H132" s="101"/>
      <c r="I132" s="101"/>
      <c r="J132" s="101"/>
    </row>
    <row r="135" spans="5:10" x14ac:dyDescent="0.25">
      <c r="F135" s="99"/>
      <c r="G135" s="99"/>
      <c r="H135" s="100"/>
      <c r="I135" s="100"/>
    </row>
    <row r="136" spans="5:10" x14ac:dyDescent="0.25">
      <c r="F136" s="99"/>
      <c r="G136" s="99"/>
      <c r="H136" s="100"/>
      <c r="I136" s="100"/>
    </row>
    <row r="137" spans="5:10" x14ac:dyDescent="0.25">
      <c r="F137" s="99"/>
      <c r="G137" s="99"/>
      <c r="H137" s="100"/>
      <c r="I137" s="100"/>
    </row>
    <row r="138" spans="5:10" x14ac:dyDescent="0.25">
      <c r="F138" s="99"/>
      <c r="G138" s="99"/>
      <c r="H138" s="100"/>
      <c r="I138" s="100"/>
    </row>
    <row r="139" spans="5:10" x14ac:dyDescent="0.25">
      <c r="F139" s="99"/>
      <c r="G139" s="99"/>
      <c r="H139" s="100"/>
      <c r="I139" s="100"/>
    </row>
    <row r="140" spans="5:10" x14ac:dyDescent="0.25">
      <c r="F140" s="99"/>
      <c r="G140" s="99"/>
      <c r="H140" s="100"/>
      <c r="I140" s="100"/>
    </row>
    <row r="141" spans="5:10" x14ac:dyDescent="0.25">
      <c r="F141" s="99"/>
      <c r="G141" s="99"/>
      <c r="H141" s="100"/>
      <c r="I141" s="100"/>
    </row>
    <row r="142" spans="5:10" x14ac:dyDescent="0.25">
      <c r="F142" s="99"/>
      <c r="G142" s="99"/>
      <c r="H142" s="100"/>
      <c r="I142" s="100"/>
    </row>
    <row r="143" spans="5:10" x14ac:dyDescent="0.25">
      <c r="F143" s="99"/>
      <c r="G143" s="99"/>
      <c r="H143" s="100"/>
      <c r="I143" s="100"/>
    </row>
    <row r="144" spans="5:10" x14ac:dyDescent="0.25">
      <c r="F144" s="99"/>
      <c r="G144" s="99"/>
      <c r="H144" s="100"/>
      <c r="I144" s="100"/>
    </row>
    <row r="145" spans="6:9" x14ac:dyDescent="0.25">
      <c r="F145" s="99"/>
      <c r="G145" s="99"/>
      <c r="H145" s="100"/>
      <c r="I145" s="100"/>
    </row>
    <row r="146" spans="6:9" x14ac:dyDescent="0.25">
      <c r="F146" s="99"/>
      <c r="G146" s="99"/>
      <c r="H146" s="100"/>
      <c r="I146" s="100"/>
    </row>
    <row r="147" spans="6:9" x14ac:dyDescent="0.25">
      <c r="F147" s="99"/>
      <c r="G147" s="99"/>
      <c r="H147" s="100"/>
      <c r="I147" s="100"/>
    </row>
    <row r="148" spans="6:9" x14ac:dyDescent="0.25">
      <c r="F148" s="99"/>
      <c r="G148" s="99"/>
      <c r="H148" s="100"/>
      <c r="I148" s="100"/>
    </row>
    <row r="149" spans="6:9" x14ac:dyDescent="0.25">
      <c r="F149" s="99"/>
      <c r="G149" s="99"/>
      <c r="H149" s="100"/>
      <c r="I149" s="100"/>
    </row>
    <row r="150" spans="6:9" x14ac:dyDescent="0.25">
      <c r="F150" s="99"/>
      <c r="G150" s="99"/>
      <c r="H150" s="100"/>
      <c r="I150" s="100"/>
    </row>
    <row r="151" spans="6:9" x14ac:dyDescent="0.25">
      <c r="F151" s="99"/>
      <c r="G151" s="99"/>
      <c r="H151" s="100"/>
      <c r="I151" s="100"/>
    </row>
    <row r="152" spans="6:9" x14ac:dyDescent="0.25">
      <c r="F152" s="99"/>
      <c r="G152" s="99"/>
      <c r="H152" s="100"/>
      <c r="I152" s="100"/>
    </row>
    <row r="153" spans="6:9" x14ac:dyDescent="0.25">
      <c r="F153" s="99"/>
      <c r="G153" s="99"/>
      <c r="H153" s="100"/>
      <c r="I153" s="100"/>
    </row>
    <row r="154" spans="6:9" x14ac:dyDescent="0.25">
      <c r="F154" s="99"/>
      <c r="G154" s="99"/>
      <c r="H154" s="100"/>
      <c r="I154" s="100"/>
    </row>
    <row r="155" spans="6:9" x14ac:dyDescent="0.25">
      <c r="F155" s="99"/>
      <c r="G155" s="99"/>
      <c r="H155" s="100"/>
      <c r="I155" s="100"/>
    </row>
    <row r="156" spans="6:9" x14ac:dyDescent="0.25">
      <c r="F156" s="99"/>
      <c r="G156" s="99"/>
      <c r="H156" s="100"/>
      <c r="I156" s="100"/>
    </row>
    <row r="157" spans="6:9" x14ac:dyDescent="0.25">
      <c r="F157" s="99"/>
      <c r="G157" s="99"/>
      <c r="H157" s="100"/>
      <c r="I157" s="100"/>
    </row>
    <row r="158" spans="6:9" x14ac:dyDescent="0.25">
      <c r="F158" s="99"/>
      <c r="G158" s="99"/>
      <c r="H158" s="100"/>
      <c r="I158" s="100"/>
    </row>
    <row r="159" spans="6:9" x14ac:dyDescent="0.25">
      <c r="F159" s="99"/>
      <c r="G159" s="99"/>
      <c r="H159" s="100"/>
      <c r="I159" s="100"/>
    </row>
    <row r="160" spans="6:9" x14ac:dyDescent="0.25">
      <c r="F160" s="99"/>
      <c r="G160" s="99"/>
      <c r="H160" s="100"/>
      <c r="I160" s="100"/>
    </row>
    <row r="161" spans="6:9" x14ac:dyDescent="0.25">
      <c r="F161" s="99"/>
      <c r="G161" s="99"/>
      <c r="H161" s="100"/>
      <c r="I161" s="100"/>
    </row>
    <row r="162" spans="6:9" x14ac:dyDescent="0.25">
      <c r="F162" s="99"/>
      <c r="G162" s="99"/>
      <c r="H162" s="100"/>
      <c r="I162" s="100"/>
    </row>
    <row r="163" spans="6:9" x14ac:dyDescent="0.25">
      <c r="F163" s="99"/>
      <c r="G163" s="99"/>
      <c r="H163" s="100"/>
      <c r="I163" s="100"/>
    </row>
    <row r="164" spans="6:9" x14ac:dyDescent="0.25">
      <c r="F164" s="99"/>
      <c r="G164" s="99"/>
      <c r="H164" s="100"/>
      <c r="I164" s="100"/>
    </row>
    <row r="165" spans="6:9" x14ac:dyDescent="0.25">
      <c r="F165" s="99"/>
      <c r="G165" s="99"/>
      <c r="H165" s="100"/>
      <c r="I165" s="100"/>
    </row>
    <row r="166" spans="6:9" x14ac:dyDescent="0.25">
      <c r="F166" s="99"/>
      <c r="G166" s="99"/>
      <c r="H166" s="100"/>
      <c r="I166" s="100"/>
    </row>
    <row r="167" spans="6:9" x14ac:dyDescent="0.25">
      <c r="F167" s="99"/>
      <c r="G167" s="99"/>
      <c r="H167" s="100"/>
      <c r="I167" s="100"/>
    </row>
    <row r="168" spans="6:9" x14ac:dyDescent="0.25">
      <c r="F168" s="99"/>
      <c r="G168" s="99"/>
      <c r="H168" s="100"/>
      <c r="I168" s="100"/>
    </row>
    <row r="169" spans="6:9" x14ac:dyDescent="0.25">
      <c r="F169" s="99"/>
      <c r="G169" s="99"/>
      <c r="H169" s="100"/>
      <c r="I169" s="100"/>
    </row>
    <row r="170" spans="6:9" x14ac:dyDescent="0.25">
      <c r="F170" s="99"/>
      <c r="G170" s="99"/>
      <c r="H170" s="100"/>
      <c r="I170" s="100"/>
    </row>
    <row r="171" spans="6:9" x14ac:dyDescent="0.25">
      <c r="F171" s="99"/>
      <c r="G171" s="99"/>
      <c r="H171" s="100"/>
      <c r="I171" s="100"/>
    </row>
    <row r="172" spans="6:9" x14ac:dyDescent="0.25">
      <c r="F172" s="99"/>
      <c r="G172" s="99"/>
      <c r="H172" s="100"/>
      <c r="I172" s="100"/>
    </row>
    <row r="173" spans="6:9" x14ac:dyDescent="0.25">
      <c r="F173" s="99"/>
      <c r="G173" s="99"/>
      <c r="H173" s="100"/>
      <c r="I173" s="100"/>
    </row>
    <row r="174" spans="6:9" x14ac:dyDescent="0.25">
      <c r="F174" s="99"/>
      <c r="G174" s="99"/>
      <c r="H174" s="100"/>
      <c r="I174" s="100"/>
    </row>
    <row r="175" spans="6:9" x14ac:dyDescent="0.25">
      <c r="F175" s="99"/>
      <c r="G175" s="99"/>
      <c r="H175" s="100"/>
      <c r="I175" s="100"/>
    </row>
    <row r="176" spans="6:9" x14ac:dyDescent="0.25">
      <c r="F176" s="99"/>
      <c r="G176" s="99"/>
      <c r="H176" s="100"/>
      <c r="I176" s="100"/>
    </row>
    <row r="177" spans="6:9" x14ac:dyDescent="0.25">
      <c r="F177" s="99"/>
      <c r="G177" s="99"/>
      <c r="H177" s="100"/>
      <c r="I177" s="100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D8129-57D8-4D3F-A403-57F3CDF6CA93}">
  <sheetPr>
    <tabColor theme="4" tint="0.79998168889431442"/>
  </sheetPr>
  <dimension ref="A1:L177"/>
  <sheetViews>
    <sheetView topLeftCell="A48" workbookViewId="0">
      <selection sqref="A1:L146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406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0.47257252054289256</v>
      </c>
      <c r="B4" s="139">
        <f>MAX(F4:K4)</f>
        <v>2.4980359460162331</v>
      </c>
      <c r="C4" s="155">
        <f>AVERAGE(F4:K4)</f>
        <v>1.2588398228886615</v>
      </c>
      <c r="D4" s="156">
        <f>MEDIAN(F4:K4)</f>
        <v>1.1102577371588152</v>
      </c>
      <c r="E4" s="47" t="s">
        <v>364</v>
      </c>
      <c r="F4" s="71">
        <f>SUM(F9:F12)/SUM(F13:F15)</f>
        <v>2.4980359460162331</v>
      </c>
      <c r="G4" s="71">
        <f t="shared" ref="G4:K4" si="0">SUM(G9:G12)/SUM(G13:G15)</f>
        <v>1.437149031448272</v>
      </c>
      <c r="H4" s="71">
        <f t="shared" si="0"/>
        <v>1.0911858669319194</v>
      </c>
      <c r="I4" s="71">
        <f t="shared" si="0"/>
        <v>1.1293296073857109</v>
      </c>
      <c r="J4" s="71">
        <f t="shared" si="0"/>
        <v>0.92476596500694075</v>
      </c>
      <c r="K4" s="71">
        <f t="shared" si="0"/>
        <v>0.47257252054289256</v>
      </c>
    </row>
    <row r="5" spans="1:11" x14ac:dyDescent="0.25">
      <c r="A5" s="139">
        <f t="shared" ref="A5:A7" si="1">MIN(F5:K5)</f>
        <v>2.019430943702436</v>
      </c>
      <c r="B5" s="139">
        <f t="shared" ref="B5:B7" si="2">MAX(F5:K5)</f>
        <v>6.893437238910777</v>
      </c>
      <c r="C5" s="155">
        <f t="shared" ref="C5:C7" si="3">AVERAGEIF(F5:K5,"&gt;0")</f>
        <v>3.7383008811011726</v>
      </c>
      <c r="D5" s="156">
        <f t="shared" ref="D5:D7" si="4">_xlfn.AGGREGATE(12,6,F5:K5)</f>
        <v>3.0729862567136319</v>
      </c>
      <c r="E5" s="47" t="s">
        <v>363</v>
      </c>
      <c r="F5" s="71">
        <f t="shared" ref="F5:K5" si="5">SUM(F9:F12)/F14</f>
        <v>2.4980857236119491</v>
      </c>
      <c r="G5" s="71">
        <f t="shared" si="5"/>
        <v>3.1478057190331095</v>
      </c>
      <c r="H5" s="71">
        <f t="shared" si="5"/>
        <v>4.8728788669546086</v>
      </c>
      <c r="I5" s="71">
        <f t="shared" si="5"/>
        <v>2.019430943702436</v>
      </c>
      <c r="J5" s="71">
        <f t="shared" si="5"/>
        <v>6.893437238910777</v>
      </c>
      <c r="K5" s="71">
        <f t="shared" si="5"/>
        <v>2.9981667943941543</v>
      </c>
    </row>
    <row r="6" spans="1:11" x14ac:dyDescent="0.25">
      <c r="A6" s="139">
        <f t="shared" si="1"/>
        <v>2.019430943702436</v>
      </c>
      <c r="B6" s="139">
        <f t="shared" si="2"/>
        <v>6.8582286923195799</v>
      </c>
      <c r="C6" s="155">
        <f t="shared" si="3"/>
        <v>3.7312764768502493</v>
      </c>
      <c r="D6" s="156">
        <f t="shared" si="4"/>
        <v>3.0695173172564614</v>
      </c>
      <c r="E6" s="47" t="s">
        <v>365</v>
      </c>
      <c r="F6" s="71">
        <f t="shared" ref="F6:K6" si="6">SUM(F10:F11)/F14</f>
        <v>2.4980857236119491</v>
      </c>
      <c r="G6" s="71">
        <f t="shared" si="6"/>
        <v>3.1478057190331095</v>
      </c>
      <c r="H6" s="71">
        <f t="shared" si="6"/>
        <v>4.8728788669546086</v>
      </c>
      <c r="I6" s="71">
        <f t="shared" si="6"/>
        <v>2.019430943702436</v>
      </c>
      <c r="J6" s="71">
        <f t="shared" si="6"/>
        <v>6.8582286923195799</v>
      </c>
      <c r="K6" s="71">
        <f t="shared" si="6"/>
        <v>2.9912289154798128</v>
      </c>
    </row>
    <row r="7" spans="1:11" ht="13.8" thickBot="1" x14ac:dyDescent="0.3">
      <c r="A7" s="139">
        <f t="shared" si="1"/>
        <v>0.84499624405308404</v>
      </c>
      <c r="B7" s="139">
        <f t="shared" si="2"/>
        <v>6.1923544396087324</v>
      </c>
      <c r="C7" s="155">
        <f t="shared" si="3"/>
        <v>2.6924454928660126</v>
      </c>
      <c r="D7" s="156">
        <f t="shared" si="4"/>
        <v>1.801276278290084</v>
      </c>
      <c r="E7" s="49" t="s">
        <v>366</v>
      </c>
      <c r="F7" s="73">
        <f t="shared" ref="F7:K7" si="7">F11/F14</f>
        <v>1.2612150786527745</v>
      </c>
      <c r="G7" s="73">
        <f t="shared" si="7"/>
        <v>1.7328225686736376</v>
      </c>
      <c r="H7" s="73">
        <f t="shared" si="7"/>
        <v>4.2535546383013161</v>
      </c>
      <c r="I7" s="73">
        <f t="shared" si="7"/>
        <v>1.8697299879065306</v>
      </c>
      <c r="J7" s="73">
        <f t="shared" si="7"/>
        <v>6.1923544396087324</v>
      </c>
      <c r="K7" s="73">
        <f t="shared" si="7"/>
        <v>0.84499624405308404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F91</f>
        <v>0</v>
      </c>
      <c r="G9" s="76">
        <f t="shared" ref="G9:K9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F92</f>
        <v>169453.95</v>
      </c>
      <c r="G10" s="76">
        <f t="shared" ref="G10:K10" si="9">G92</f>
        <v>200360.85</v>
      </c>
      <c r="H10" s="76">
        <f t="shared" si="9"/>
        <v>118762.06</v>
      </c>
      <c r="I10" s="76">
        <f t="shared" si="9"/>
        <v>56924.51</v>
      </c>
      <c r="J10" s="76">
        <f t="shared" si="9"/>
        <v>47564.41</v>
      </c>
      <c r="K10" s="76">
        <f t="shared" si="9"/>
        <v>56570.83</v>
      </c>
    </row>
    <row r="11" spans="1:11" x14ac:dyDescent="0.25">
      <c r="E11" s="43" t="s">
        <v>287</v>
      </c>
      <c r="F11" s="76">
        <f>F93</f>
        <v>172789.19</v>
      </c>
      <c r="G11" s="76">
        <f t="shared" ref="G11:K11" si="10">G93</f>
        <v>245366.74</v>
      </c>
      <c r="H11" s="76">
        <f t="shared" si="10"/>
        <v>815664.7</v>
      </c>
      <c r="I11" s="76">
        <f t="shared" si="10"/>
        <v>710973.84</v>
      </c>
      <c r="J11" s="76">
        <f t="shared" si="10"/>
        <v>442329.29</v>
      </c>
      <c r="K11" s="76">
        <f t="shared" si="10"/>
        <v>22272.58</v>
      </c>
    </row>
    <row r="12" spans="1:11" x14ac:dyDescent="0.25">
      <c r="E12" s="43" t="s">
        <v>290</v>
      </c>
      <c r="F12" s="76">
        <f>F94</f>
        <v>0</v>
      </c>
      <c r="G12" s="76">
        <f t="shared" ref="G12:K12" si="11">G94</f>
        <v>0</v>
      </c>
      <c r="H12" s="76">
        <f t="shared" si="11"/>
        <v>0</v>
      </c>
      <c r="I12" s="76">
        <f t="shared" si="11"/>
        <v>0</v>
      </c>
      <c r="J12" s="76">
        <f t="shared" si="11"/>
        <v>2515</v>
      </c>
      <c r="K12" s="76">
        <f t="shared" si="11"/>
        <v>182.87</v>
      </c>
    </row>
    <row r="13" spans="1:11" x14ac:dyDescent="0.25">
      <c r="E13" s="43" t="s">
        <v>310</v>
      </c>
      <c r="F13" s="76">
        <f>F103</f>
        <v>0</v>
      </c>
      <c r="G13" s="76">
        <f t="shared" ref="G13:K13" si="12">G103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F105</f>
        <v>137002.16</v>
      </c>
      <c r="G14" s="76">
        <f t="shared" ref="G14:K14" si="13">G105</f>
        <v>141599.46</v>
      </c>
      <c r="H14" s="76">
        <f t="shared" si="13"/>
        <v>191760.72</v>
      </c>
      <c r="I14" s="76">
        <f t="shared" si="13"/>
        <v>380254.82</v>
      </c>
      <c r="J14" s="76">
        <f t="shared" si="13"/>
        <v>71431.520000000004</v>
      </c>
      <c r="K14" s="76">
        <f t="shared" si="13"/>
        <v>26358.2</v>
      </c>
    </row>
    <row r="15" spans="1:11" x14ac:dyDescent="0.25">
      <c r="E15" s="43" t="s">
        <v>362</v>
      </c>
      <c r="F15" s="76">
        <f>F106</f>
        <v>2.73</v>
      </c>
      <c r="G15" s="76">
        <f t="shared" ref="G15:K15" si="14">G106</f>
        <v>168547.63</v>
      </c>
      <c r="H15" s="76">
        <f t="shared" si="14"/>
        <v>664579.88</v>
      </c>
      <c r="I15" s="76">
        <f t="shared" si="14"/>
        <v>299704.64</v>
      </c>
      <c r="J15" s="76">
        <f t="shared" si="14"/>
        <v>461036.93</v>
      </c>
      <c r="K15" s="76">
        <f t="shared" si="14"/>
        <v>140867.51999999999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10.921976624107653</v>
      </c>
      <c r="B19" s="152">
        <f t="shared" ref="B19:B25" si="16">MAX(F19:K19)</f>
        <v>29.904067109255774</v>
      </c>
      <c r="C19" s="156">
        <f>AVERAGE(F19:K19)</f>
        <v>20.899608153965769</v>
      </c>
      <c r="D19" s="156">
        <f>MEDIAN(F19:K19)</f>
        <v>21.240268317977684</v>
      </c>
      <c r="E19" s="47" t="s">
        <v>293</v>
      </c>
      <c r="F19" s="71">
        <f>F28/(F27/365)</f>
        <v>29.904067109255774</v>
      </c>
      <c r="G19" s="71">
        <f t="shared" ref="G19:K19" si="17">G28/(G27/365)</f>
        <v>27.94416194252419</v>
      </c>
      <c r="H19" s="71">
        <f t="shared" si="17"/>
        <v>26.5339217230873</v>
      </c>
      <c r="I19" s="71">
        <f t="shared" si="17"/>
        <v>10.921976624107653</v>
      </c>
      <c r="J19" s="71">
        <f t="shared" si="17"/>
        <v>15.946614912868069</v>
      </c>
      <c r="K19" s="71">
        <f t="shared" si="17"/>
        <v>14.146906611951614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6.5915065036016447</v>
      </c>
      <c r="B21" s="152">
        <f t="shared" si="16"/>
        <v>72.958629863379826</v>
      </c>
      <c r="C21" s="156">
        <f t="shared" si="18"/>
        <v>31.711304585138169</v>
      </c>
      <c r="D21" s="156">
        <f t="shared" si="19"/>
        <v>24.062793215191832</v>
      </c>
      <c r="E21" s="47" t="s">
        <v>368</v>
      </c>
      <c r="F21" s="71">
        <f>F30/(F27/365)</f>
        <v>24.177198505865441</v>
      </c>
      <c r="G21" s="71">
        <f t="shared" ref="G21:K21" si="21">G30/(G27/365)</f>
        <v>19.748759506729861</v>
      </c>
      <c r="H21" s="71">
        <f t="shared" si="21"/>
        <v>42.843345206734043</v>
      </c>
      <c r="I21" s="71">
        <f t="shared" si="21"/>
        <v>72.958629863379826</v>
      </c>
      <c r="J21" s="71">
        <f t="shared" si="21"/>
        <v>23.948387924518222</v>
      </c>
      <c r="K21" s="71">
        <f t="shared" si="21"/>
        <v>6.5915065036016447</v>
      </c>
    </row>
    <row r="22" spans="1:11" x14ac:dyDescent="0.25">
      <c r="A22" s="152">
        <f t="shared" si="15"/>
        <v>-62.036653239272169</v>
      </c>
      <c r="B22" s="152">
        <f t="shared" si="16"/>
        <v>8.1954024357943283</v>
      </c>
      <c r="C22" s="156">
        <f t="shared" si="18"/>
        <v>-10.811696431172408</v>
      </c>
      <c r="D22" s="156">
        <f t="shared" si="19"/>
        <v>-1.13745220412991</v>
      </c>
      <c r="E22" s="47" t="s">
        <v>294</v>
      </c>
      <c r="F22" s="71">
        <f>F19+F20-F21</f>
        <v>5.7268686033903329</v>
      </c>
      <c r="G22" s="71">
        <f t="shared" ref="G22:K22" si="22">G19+G20-G21</f>
        <v>8.1954024357943283</v>
      </c>
      <c r="H22" s="71">
        <f t="shared" si="22"/>
        <v>-16.309423483646743</v>
      </c>
      <c r="I22" s="71">
        <f t="shared" si="22"/>
        <v>-62.036653239272169</v>
      </c>
      <c r="J22" s="71">
        <f t="shared" si="22"/>
        <v>-8.0017730116501529</v>
      </c>
      <c r="K22" s="71">
        <f t="shared" si="22"/>
        <v>7.5554001083499696</v>
      </c>
    </row>
    <row r="23" spans="1:11" x14ac:dyDescent="0.25">
      <c r="A23" s="152">
        <f t="shared" si="15"/>
        <v>1.7016755413038425</v>
      </c>
      <c r="B23" s="152">
        <f t="shared" si="16"/>
        <v>9.1970375486020295</v>
      </c>
      <c r="C23" s="156">
        <f t="shared" si="18"/>
        <v>4.4758518498697368</v>
      </c>
      <c r="D23" s="156">
        <f t="shared" si="19"/>
        <v>4.0132987614768858</v>
      </c>
      <c r="E23" s="47" t="s">
        <v>295</v>
      </c>
      <c r="F23" s="71">
        <f>F27/F31</f>
        <v>5.8962459541242485</v>
      </c>
      <c r="G23" s="71">
        <f t="shared" ref="G23:K23" si="23">G27/G31</f>
        <v>5.6547598754808668</v>
      </c>
      <c r="H23" s="71">
        <f t="shared" si="23"/>
        <v>1.7016755413038425</v>
      </c>
      <c r="I23" s="71">
        <f t="shared" si="23"/>
        <v>2.3718376474729053</v>
      </c>
      <c r="J23" s="71">
        <f t="shared" si="23"/>
        <v>2.0335545322345285</v>
      </c>
      <c r="K23" s="71">
        <f t="shared" si="23"/>
        <v>9.1970375486020295</v>
      </c>
    </row>
    <row r="24" spans="1:11" x14ac:dyDescent="0.25">
      <c r="A24" s="152">
        <f t="shared" si="15"/>
        <v>18.319378733446321</v>
      </c>
      <c r="B24" s="152">
        <f t="shared" si="16"/>
        <v>242.19012529274005</v>
      </c>
      <c r="C24" s="156">
        <f t="shared" si="18"/>
        <v>93.088809462321208</v>
      </c>
      <c r="D24" s="156">
        <f t="shared" si="19"/>
        <v>59.727795325917256</v>
      </c>
      <c r="E24" s="121" t="s">
        <v>369</v>
      </c>
      <c r="F24" s="71">
        <f>F27/F32</f>
        <v>242.19012529274005</v>
      </c>
      <c r="G24" s="71">
        <f t="shared" ref="G24:K24" si="24">G27/G32</f>
        <v>153.22399238875877</v>
      </c>
      <c r="H24" s="71">
        <f t="shared" si="24"/>
        <v>63.7661237314598</v>
      </c>
      <c r="I24" s="71">
        <f t="shared" si="24"/>
        <v>55.689466920374706</v>
      </c>
      <c r="J24" s="71">
        <f t="shared" si="24"/>
        <v>25.343769707147572</v>
      </c>
      <c r="K24" s="71">
        <f t="shared" si="24"/>
        <v>18.319378733446321</v>
      </c>
    </row>
    <row r="25" spans="1:11" ht="13.8" thickBot="1" x14ac:dyDescent="0.3">
      <c r="A25" s="152">
        <f t="shared" si="15"/>
        <v>1.7483318756838686</v>
      </c>
      <c r="B25" s="152">
        <f t="shared" si="16"/>
        <v>18.512221122856047</v>
      </c>
      <c r="C25" s="156">
        <f t="shared" si="18"/>
        <v>6.1439471848185407</v>
      </c>
      <c r="D25" s="156">
        <f t="shared" si="19"/>
        <v>4.174397840231423</v>
      </c>
      <c r="E25" s="49" t="s">
        <v>296</v>
      </c>
      <c r="F25" s="73">
        <f>F27/F33</f>
        <v>6.0433750987675019</v>
      </c>
      <c r="G25" s="73">
        <f t="shared" ref="G25:K25" si="25">G27/G33</f>
        <v>5.8714467058231685</v>
      </c>
      <c r="H25" s="73">
        <f t="shared" si="25"/>
        <v>1.7483318756838686</v>
      </c>
      <c r="I25" s="73">
        <f t="shared" si="25"/>
        <v>2.4773489746396771</v>
      </c>
      <c r="J25" s="73">
        <f t="shared" si="25"/>
        <v>2.2109593311409812</v>
      </c>
      <c r="K25" s="73">
        <f t="shared" si="25"/>
        <v>18.512221122856047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F108</f>
        <v>2068303.67</v>
      </c>
      <c r="G27" s="76">
        <f t="shared" ref="G27:K27" si="26">G108</f>
        <v>2617065.79</v>
      </c>
      <c r="H27" s="76">
        <f t="shared" si="26"/>
        <v>1633688.09</v>
      </c>
      <c r="I27" s="76">
        <f t="shared" si="26"/>
        <v>1902352.19</v>
      </c>
      <c r="J27" s="76">
        <f t="shared" si="26"/>
        <v>1088695.6100000001</v>
      </c>
      <c r="K27" s="76">
        <f t="shared" si="26"/>
        <v>1459566.64</v>
      </c>
    </row>
    <row r="28" spans="1:11" x14ac:dyDescent="0.25">
      <c r="E28" s="43" t="s">
        <v>305</v>
      </c>
      <c r="F28" s="76">
        <f>F92</f>
        <v>169453.95</v>
      </c>
      <c r="G28" s="76">
        <f t="shared" ref="G28:K28" si="27">G92</f>
        <v>200360.85</v>
      </c>
      <c r="H28" s="76">
        <f t="shared" si="27"/>
        <v>118762.06</v>
      </c>
      <c r="I28" s="76">
        <f t="shared" si="27"/>
        <v>56924.51</v>
      </c>
      <c r="J28" s="76">
        <f t="shared" si="27"/>
        <v>47564.41</v>
      </c>
      <c r="K28" s="76">
        <f t="shared" si="27"/>
        <v>56570.83</v>
      </c>
    </row>
    <row r="29" spans="1:11" x14ac:dyDescent="0.25">
      <c r="E29" s="43" t="s">
        <v>306</v>
      </c>
      <c r="F29" s="76">
        <f>F91</f>
        <v>0</v>
      </c>
      <c r="G29" s="76">
        <f t="shared" ref="G29:K29" si="28">G91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F105</f>
        <v>137002.16</v>
      </c>
      <c r="G30" s="76">
        <f t="shared" ref="G30:K30" si="29">G105</f>
        <v>141599.46</v>
      </c>
      <c r="H30" s="76">
        <f t="shared" si="29"/>
        <v>191760.72</v>
      </c>
      <c r="I30" s="76">
        <f t="shared" si="29"/>
        <v>380254.82</v>
      </c>
      <c r="J30" s="76">
        <f t="shared" si="29"/>
        <v>71431.520000000004</v>
      </c>
      <c r="K30" s="76">
        <f t="shared" si="29"/>
        <v>26358.2</v>
      </c>
    </row>
    <row r="31" spans="1:11" x14ac:dyDescent="0.25">
      <c r="E31" s="43" t="s">
        <v>303</v>
      </c>
      <c r="F31" s="76">
        <f>F96</f>
        <v>350783.14</v>
      </c>
      <c r="G31" s="76">
        <f t="shared" ref="G31:K31" si="30">G96</f>
        <v>462807.59</v>
      </c>
      <c r="H31" s="76">
        <f t="shared" si="30"/>
        <v>960046.76</v>
      </c>
      <c r="I31" s="76">
        <f t="shared" si="30"/>
        <v>802058.35</v>
      </c>
      <c r="J31" s="76">
        <f t="shared" si="30"/>
        <v>535365.82999999996</v>
      </c>
      <c r="K31" s="76">
        <f t="shared" si="30"/>
        <v>158699.65</v>
      </c>
    </row>
    <row r="32" spans="1:11" x14ac:dyDescent="0.25">
      <c r="E32" s="43" t="s">
        <v>308</v>
      </c>
      <c r="F32" s="76">
        <f>F84</f>
        <v>8540</v>
      </c>
      <c r="G32" s="76">
        <f t="shared" ref="G32:K32" si="31">G84</f>
        <v>17080</v>
      </c>
      <c r="H32" s="76">
        <f t="shared" si="31"/>
        <v>25620</v>
      </c>
      <c r="I32" s="76">
        <f t="shared" si="31"/>
        <v>34160</v>
      </c>
      <c r="J32" s="76">
        <f t="shared" si="31"/>
        <v>42957.13</v>
      </c>
      <c r="K32" s="76">
        <f t="shared" si="31"/>
        <v>79673.37</v>
      </c>
    </row>
    <row r="33" spans="1:11" x14ac:dyDescent="0.25">
      <c r="E33" s="43" t="s">
        <v>309</v>
      </c>
      <c r="F33" s="76">
        <f>F90</f>
        <v>342243.14</v>
      </c>
      <c r="G33" s="76">
        <f t="shared" ref="G33:K33" si="32">G90</f>
        <v>445727.59</v>
      </c>
      <c r="H33" s="76">
        <f t="shared" si="32"/>
        <v>934426.76</v>
      </c>
      <c r="I33" s="76">
        <f t="shared" si="32"/>
        <v>767898.35</v>
      </c>
      <c r="J33" s="76">
        <f t="shared" si="32"/>
        <v>492408.7</v>
      </c>
      <c r="K33" s="76">
        <f t="shared" si="32"/>
        <v>78843.41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0.1334256241194923</v>
      </c>
      <c r="B37" s="139">
        <f t="shared" ref="B37:B41" si="34">MAX(F37:K37)</f>
        <v>0.47409869867946641</v>
      </c>
      <c r="C37" s="160">
        <f t="shared" ref="C37:C41" si="35">AVERAGE(F37:K37)</f>
        <v>0.27831204794725134</v>
      </c>
      <c r="D37" s="160">
        <f t="shared" ref="D37:D41" si="36">MEDIAN(F37:K37)</f>
        <v>0.25284926780152583</v>
      </c>
      <c r="E37" s="126" t="s">
        <v>370</v>
      </c>
      <c r="F37" s="131">
        <f>F43/F44*100%</f>
        <v>0.39056084622539156</v>
      </c>
      <c r="G37" s="124">
        <f t="shared" ref="G37:K37" si="37">G43/G44*100%</f>
        <v>0.30595751465528037</v>
      </c>
      <c r="H37" s="124">
        <f t="shared" si="37"/>
        <v>0.19974102094777132</v>
      </c>
      <c r="I37" s="124">
        <f t="shared" si="37"/>
        <v>0.47409869867946641</v>
      </c>
      <c r="J37" s="124">
        <f t="shared" si="37"/>
        <v>0.1334256241194923</v>
      </c>
      <c r="K37" s="132">
        <f t="shared" si="37"/>
        <v>0.1660885830561063</v>
      </c>
    </row>
    <row r="38" spans="1:11" x14ac:dyDescent="0.25">
      <c r="A38" s="139">
        <f t="shared" si="33"/>
        <v>-3.0914829458355375</v>
      </c>
      <c r="B38" s="139">
        <f t="shared" si="34"/>
        <v>24.653832082778234</v>
      </c>
      <c r="C38" s="155">
        <f t="shared" si="35"/>
        <v>4.6823584827154576</v>
      </c>
      <c r="D38" s="156">
        <f t="shared" si="36"/>
        <v>1.3883111390477374</v>
      </c>
      <c r="E38" s="127" t="s">
        <v>298</v>
      </c>
      <c r="F38" s="133">
        <f>F43/F45</f>
        <v>0.64086107917900914</v>
      </c>
      <c r="G38" s="122">
        <f t="shared" ref="G38:K38" si="38">G43/G45</f>
        <v>0.9275448462437893</v>
      </c>
      <c r="H38" s="122">
        <f t="shared" si="38"/>
        <v>1.8490774318516856</v>
      </c>
      <c r="I38" s="122">
        <f t="shared" si="38"/>
        <v>3.1143184020755634</v>
      </c>
      <c r="J38" s="122">
        <f t="shared" si="38"/>
        <v>24.653832082778234</v>
      </c>
      <c r="K38" s="134">
        <f t="shared" si="38"/>
        <v>-3.0914829458355375</v>
      </c>
    </row>
    <row r="39" spans="1:11" x14ac:dyDescent="0.25">
      <c r="A39" s="139">
        <f t="shared" si="33"/>
        <v>-18.613458486735389</v>
      </c>
      <c r="B39" s="139">
        <f t="shared" si="34"/>
        <v>184.77584231271007</v>
      </c>
      <c r="C39" s="155">
        <f t="shared" si="35"/>
        <v>31.110194926342164</v>
      </c>
      <c r="D39" s="156">
        <f t="shared" si="36"/>
        <v>4.8002686965207975</v>
      </c>
      <c r="E39" s="127" t="s">
        <v>299</v>
      </c>
      <c r="F39" s="133">
        <f>F44/F45</f>
        <v>1.6408738494210708</v>
      </c>
      <c r="G39" s="122">
        <f t="shared" ref="G39:K39" si="39">G44/G45</f>
        <v>3.0316132201846582</v>
      </c>
      <c r="H39" s="122">
        <f t="shared" si="39"/>
        <v>9.2573744896156605</v>
      </c>
      <c r="I39" s="122">
        <f t="shared" si="39"/>
        <v>6.5689241728569359</v>
      </c>
      <c r="J39" s="122">
        <f t="shared" si="39"/>
        <v>184.77584231271007</v>
      </c>
      <c r="K39" s="134">
        <f t="shared" si="39"/>
        <v>-18.613458486735389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-84.947336448598122</v>
      </c>
      <c r="B41" s="139">
        <f t="shared" si="34"/>
        <v>139870.54285714286</v>
      </c>
      <c r="C41" s="155">
        <f t="shared" si="35"/>
        <v>36974.609048855709</v>
      </c>
      <c r="D41" s="156">
        <f t="shared" si="36"/>
        <v>600.52453987730064</v>
      </c>
      <c r="E41" s="129" t="s">
        <v>300</v>
      </c>
      <c r="F41" s="135">
        <f>(F47+F48)/F48</f>
        <v>43963.986842105267</v>
      </c>
      <c r="G41" s="123">
        <f t="shared" ref="G41:K41" si="41">(G47+G48)/G48</f>
        <v>139870.54285714286</v>
      </c>
      <c r="H41" s="123">
        <f t="shared" si="41"/>
        <v>-84.947336448598122</v>
      </c>
      <c r="I41" s="171"/>
      <c r="J41" s="123">
        <f t="shared" si="41"/>
        <v>600.52453987730064</v>
      </c>
      <c r="K41" s="136">
        <f t="shared" si="41"/>
        <v>522.93834160170093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F104+F105</f>
        <v>137002.16</v>
      </c>
      <c r="G43" s="76">
        <f t="shared" ref="G43:K43" si="42">G104+G105</f>
        <v>141599.46</v>
      </c>
      <c r="H43" s="76">
        <f t="shared" si="42"/>
        <v>191760.72</v>
      </c>
      <c r="I43" s="76">
        <f t="shared" si="42"/>
        <v>380254.82</v>
      </c>
      <c r="J43" s="76">
        <f t="shared" si="42"/>
        <v>71431.520000000004</v>
      </c>
      <c r="K43" s="76">
        <f t="shared" si="42"/>
        <v>26358.2</v>
      </c>
    </row>
    <row r="44" spans="1:11" x14ac:dyDescent="0.25">
      <c r="E44" s="43" t="s">
        <v>303</v>
      </c>
      <c r="F44" s="76">
        <f>F96</f>
        <v>350783.14</v>
      </c>
      <c r="G44" s="76">
        <f t="shared" ref="G44:K44" si="43">G96</f>
        <v>462807.59</v>
      </c>
      <c r="H44" s="76">
        <f t="shared" si="43"/>
        <v>960046.76</v>
      </c>
      <c r="I44" s="76">
        <f t="shared" si="43"/>
        <v>802058.35</v>
      </c>
      <c r="J44" s="76">
        <f t="shared" si="43"/>
        <v>535365.82999999996</v>
      </c>
      <c r="K44" s="76">
        <f t="shared" si="43"/>
        <v>158699.65</v>
      </c>
    </row>
    <row r="45" spans="1:11" x14ac:dyDescent="0.25">
      <c r="E45" s="43" t="s">
        <v>311</v>
      </c>
      <c r="F45" s="76">
        <f>F97</f>
        <v>213778.25</v>
      </c>
      <c r="G45" s="76">
        <f t="shared" ref="G45:K45" si="44">G97</f>
        <v>152660.5</v>
      </c>
      <c r="H45" s="76">
        <f t="shared" si="44"/>
        <v>103706.16</v>
      </c>
      <c r="I45" s="76">
        <f t="shared" si="44"/>
        <v>122098.89</v>
      </c>
      <c r="J45" s="76">
        <f t="shared" si="44"/>
        <v>2897.38</v>
      </c>
      <c r="K45" s="76">
        <f t="shared" si="44"/>
        <v>-8526.07</v>
      </c>
    </row>
    <row r="46" spans="1:11" x14ac:dyDescent="0.25">
      <c r="E46" s="43" t="s">
        <v>312</v>
      </c>
      <c r="F46" s="76">
        <f>F104</f>
        <v>0</v>
      </c>
      <c r="G46" s="76">
        <f t="shared" ref="G46:K46" si="45">G104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x14ac:dyDescent="0.25">
      <c r="E47" s="43" t="s">
        <v>313</v>
      </c>
      <c r="F47" s="76">
        <f>F117</f>
        <v>66823.740000000005</v>
      </c>
      <c r="G47" s="76">
        <f t="shared" ref="G47:K47" si="46">G117</f>
        <v>48954.34</v>
      </c>
      <c r="H47" s="76">
        <f t="shared" si="46"/>
        <v>-18392.73</v>
      </c>
      <c r="I47" s="76">
        <f t="shared" si="46"/>
        <v>68363.09</v>
      </c>
      <c r="J47" s="76">
        <f t="shared" si="46"/>
        <v>3908.9</v>
      </c>
      <c r="K47" s="76">
        <f t="shared" si="46"/>
        <v>7364.55</v>
      </c>
    </row>
    <row r="48" spans="1:11" x14ac:dyDescent="0.25">
      <c r="E48" s="43" t="s">
        <v>314</v>
      </c>
      <c r="F48" s="76">
        <f>F116</f>
        <v>1.52</v>
      </c>
      <c r="G48" s="76">
        <f t="shared" ref="G48:K48" si="47">G116</f>
        <v>0.35</v>
      </c>
      <c r="H48" s="76">
        <f t="shared" si="47"/>
        <v>214</v>
      </c>
      <c r="I48" s="76">
        <f t="shared" si="47"/>
        <v>0</v>
      </c>
      <c r="J48" s="76">
        <f t="shared" si="47"/>
        <v>6.52</v>
      </c>
      <c r="K48" s="76">
        <f t="shared" si="47"/>
        <v>14.11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-1.1389401755386488E-2</v>
      </c>
      <c r="B52" s="139">
        <f t="shared" ref="B52:B63" si="49">MAX(F52:K52)</f>
        <v>3.5936085000117669E-2</v>
      </c>
      <c r="C52" s="160">
        <f t="shared" ref="C52:C63" si="50">AVERAGE(F52:K52)</f>
        <v>1.4029426463855037E-2</v>
      </c>
      <c r="D52" s="160">
        <f t="shared" ref="D52:D63" si="51">MEDIAN(F52:K52)</f>
        <v>1.1931246876609847E-2</v>
      </c>
      <c r="E52" s="127" t="s">
        <v>350</v>
      </c>
      <c r="F52" s="131">
        <f t="shared" ref="F52:K52" si="52">(F65/(F70+F71))*100%</f>
        <v>3.2307739630007347E-2</v>
      </c>
      <c r="G52" s="124">
        <f t="shared" si="52"/>
        <v>1.9014004011561315E-2</v>
      </c>
      <c r="H52" s="124">
        <f t="shared" si="52"/>
        <v>-1.1389401755386488E-2</v>
      </c>
      <c r="I52" s="124">
        <f t="shared" si="52"/>
        <v>3.5936085000117669E-2</v>
      </c>
      <c r="J52" s="124">
        <f t="shared" si="52"/>
        <v>3.4596421551720048E-3</v>
      </c>
      <c r="K52" s="132">
        <f t="shared" si="52"/>
        <v>4.8484897416583798E-3</v>
      </c>
    </row>
    <row r="53" spans="1:11" x14ac:dyDescent="0.25">
      <c r="A53" s="139">
        <f t="shared" si="48"/>
        <v>-3.2480263239051732E-2</v>
      </c>
      <c r="B53" s="139">
        <f t="shared" si="49"/>
        <v>3.624990701642896E-2</v>
      </c>
      <c r="C53" s="160">
        <f t="shared" si="50"/>
        <v>4.4512693635879036E-3</v>
      </c>
      <c r="D53" s="160">
        <f t="shared" si="51"/>
        <v>3.6362642293670082E-3</v>
      </c>
      <c r="E53" s="127" t="s">
        <v>351</v>
      </c>
      <c r="F53" s="131">
        <f>(F66/F70)*100%</f>
        <v>3.2986050834595292E-2</v>
      </c>
      <c r="G53" s="124">
        <f t="shared" ref="G53:K53" si="53">(G66/G70)*100%</f>
        <v>1.8399946300165424E-2</v>
      </c>
      <c r="H53" s="124">
        <f t="shared" si="53"/>
        <v>-1.1127417841431408E-2</v>
      </c>
      <c r="I53" s="124">
        <f t="shared" si="53"/>
        <v>3.624990701642896E-2</v>
      </c>
      <c r="J53" s="124">
        <f t="shared" si="53"/>
        <v>-3.2480263239051732E-2</v>
      </c>
      <c r="K53" s="132">
        <f t="shared" si="53"/>
        <v>-1.7320606889179108E-2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-1.1258409798408947E-2</v>
      </c>
      <c r="B58" s="139">
        <f t="shared" si="49"/>
        <v>3.5936085000117669E-2</v>
      </c>
      <c r="C58" s="155">
        <f t="shared" si="50"/>
        <v>1.4002530112043637E-2</v>
      </c>
      <c r="D58" s="156">
        <f t="shared" si="51"/>
        <v>1.1781804249549395E-2</v>
      </c>
      <c r="E58" s="127" t="s">
        <v>356</v>
      </c>
      <c r="F58" s="133">
        <f>F68/(F70+F71+F72+F73+F74+F75)</f>
        <v>3.2308474531724737E-2</v>
      </c>
      <c r="G58" s="122">
        <f t="shared" ref="G58:K58" si="54">G68/(G70+G71+G72+G73+G74)</f>
        <v>1.8705811533620505E-2</v>
      </c>
      <c r="H58" s="122">
        <f t="shared" si="54"/>
        <v>-1.1258409798408947E-2</v>
      </c>
      <c r="I58" s="122">
        <f t="shared" si="54"/>
        <v>3.5936085000117669E-2</v>
      </c>
      <c r="J58" s="122">
        <f t="shared" si="54"/>
        <v>3.4654224397295619E-3</v>
      </c>
      <c r="K58" s="134">
        <f t="shared" si="54"/>
        <v>4.8577969654782869E-3</v>
      </c>
    </row>
    <row r="59" spans="1:11" x14ac:dyDescent="0.25">
      <c r="A59" s="139">
        <f t="shared" si="48"/>
        <v>-1.1258409798408947E-2</v>
      </c>
      <c r="B59" s="139">
        <f t="shared" si="49"/>
        <v>3.5936085000117669E-2</v>
      </c>
      <c r="C59" s="155">
        <f t="shared" si="50"/>
        <v>1.4001569159650775E-2</v>
      </c>
      <c r="D59" s="156">
        <f t="shared" si="51"/>
        <v>1.1778921392370811E-2</v>
      </c>
      <c r="E59" s="127" t="s">
        <v>361</v>
      </c>
      <c r="F59" s="133">
        <f>F69/(F70+F71+F72+F73+F74+F75)</f>
        <v>3.2308474531724737E-2</v>
      </c>
      <c r="G59" s="122">
        <f t="shared" ref="G59:K59" si="55">G69/(G70+G71+G72+G73+G74+G75)</f>
        <v>1.8700045819263336E-2</v>
      </c>
      <c r="H59" s="122">
        <f t="shared" si="55"/>
        <v>-1.1258409798408947E-2</v>
      </c>
      <c r="I59" s="122">
        <f t="shared" si="55"/>
        <v>3.5936085000117669E-2</v>
      </c>
      <c r="J59" s="122">
        <f t="shared" si="55"/>
        <v>3.4654224397295619E-3</v>
      </c>
      <c r="K59" s="134">
        <f t="shared" si="55"/>
        <v>4.8577969654782869E-3</v>
      </c>
    </row>
    <row r="60" spans="1:11" ht="26.4" x14ac:dyDescent="0.25">
      <c r="A60" s="139">
        <f t="shared" si="48"/>
        <v>-1.9381066397224235E-2</v>
      </c>
      <c r="B60" s="139">
        <f t="shared" si="49"/>
        <v>0.19049438921152254</v>
      </c>
      <c r="C60" s="160">
        <f t="shared" si="50"/>
        <v>6.9578894754547468E-2</v>
      </c>
      <c r="D60" s="160">
        <f t="shared" si="51"/>
        <v>6.577561680122429E-2</v>
      </c>
      <c r="E60" s="127" t="s">
        <v>372</v>
      </c>
      <c r="F60" s="131">
        <f>F65/F79*100%</f>
        <v>0.19049438921152254</v>
      </c>
      <c r="G60" s="124">
        <f t="shared" ref="G60:K60" si="56">G65/G79*100%</f>
        <v>0.10751962818933025</v>
      </c>
      <c r="H60" s="124">
        <f t="shared" si="56"/>
        <v>-1.9381066397224235E-2</v>
      </c>
      <c r="I60" s="124">
        <f t="shared" si="56"/>
        <v>8.5234559306065452E-2</v>
      </c>
      <c r="J60" s="124">
        <f t="shared" si="56"/>
        <v>7.2891839212076729E-3</v>
      </c>
      <c r="K60" s="132">
        <f t="shared" si="56"/>
        <v>4.6316674296383142E-2</v>
      </c>
    </row>
    <row r="61" spans="1:11" x14ac:dyDescent="0.25">
      <c r="A61" s="139">
        <f t="shared" si="48"/>
        <v>-1.915816058792803E-2</v>
      </c>
      <c r="B61" s="139">
        <f t="shared" si="49"/>
        <v>0.19049872237303081</v>
      </c>
      <c r="C61" s="155">
        <f t="shared" si="50"/>
        <v>6.9343156949521353E-2</v>
      </c>
      <c r="D61" s="156">
        <f t="shared" si="51"/>
        <v>6.5820071845706124E-2</v>
      </c>
      <c r="E61" s="127" t="s">
        <v>373</v>
      </c>
      <c r="F61" s="133">
        <f>F69/F79</f>
        <v>0.19049872237303081</v>
      </c>
      <c r="G61" s="122">
        <f t="shared" ref="G61:K61" si="57">G69/G79</f>
        <v>0.10577687371116795</v>
      </c>
      <c r="H61" s="122">
        <f t="shared" si="57"/>
        <v>-1.915816058792803E-2</v>
      </c>
      <c r="I61" s="122">
        <f t="shared" si="57"/>
        <v>8.5234559306065452E-2</v>
      </c>
      <c r="J61" s="122">
        <f t="shared" si="57"/>
        <v>7.3013625094451775E-3</v>
      </c>
      <c r="K61" s="134">
        <f t="shared" si="57"/>
        <v>4.6405584385346789E-2</v>
      </c>
    </row>
    <row r="62" spans="1:11" x14ac:dyDescent="0.25">
      <c r="A62" s="139">
        <f t="shared" si="48"/>
        <v>-12.204515803933209</v>
      </c>
      <c r="B62" s="139">
        <f t="shared" si="49"/>
        <v>2.9650917714726717</v>
      </c>
      <c r="C62" s="155">
        <f t="shared" si="50"/>
        <v>-1.3703184108544668</v>
      </c>
      <c r="D62" s="156">
        <f t="shared" si="51"/>
        <v>0.31400773777407409</v>
      </c>
      <c r="E62" s="127" t="s">
        <v>374</v>
      </c>
      <c r="F62" s="133">
        <f>F69/F80</f>
        <v>0.31258437189003091</v>
      </c>
      <c r="G62" s="122">
        <f>G66/G80</f>
        <v>0.31543110365811722</v>
      </c>
      <c r="H62" s="122">
        <f>H66/H80</f>
        <v>-0.17529074454207927</v>
      </c>
      <c r="I62" s="122">
        <f>I66/I80</f>
        <v>0.56478883632766852</v>
      </c>
      <c r="J62" s="122">
        <f>J66/J80</f>
        <v>-12.204515803933209</v>
      </c>
      <c r="K62" s="134">
        <f>K66/K80</f>
        <v>2.9650917714726717</v>
      </c>
    </row>
    <row r="63" spans="1:11" ht="13.8" thickBot="1" x14ac:dyDescent="0.3">
      <c r="A63" s="139">
        <f t="shared" si="48"/>
        <v>-0.86211349425937167</v>
      </c>
      <c r="B63" s="139">
        <f t="shared" si="49"/>
        <v>1.3468650988134108</v>
      </c>
      <c r="C63" s="155">
        <f t="shared" si="50"/>
        <v>0.25062805997699816</v>
      </c>
      <c r="D63" s="156">
        <f t="shared" si="51"/>
        <v>0.31926759398336968</v>
      </c>
      <c r="E63" s="129" t="s">
        <v>302</v>
      </c>
      <c r="F63" s="135">
        <f t="shared" ref="F63:K63" si="58">F65/(F80+F81)</f>
        <v>0.31257726171862665</v>
      </c>
      <c r="G63" s="123">
        <f t="shared" si="58"/>
        <v>0.32595792624811265</v>
      </c>
      <c r="H63" s="123">
        <f t="shared" si="58"/>
        <v>-0.17941778964721092</v>
      </c>
      <c r="I63" s="123">
        <f t="shared" si="58"/>
        <v>0.55989935698842141</v>
      </c>
      <c r="J63" s="123">
        <f t="shared" si="58"/>
        <v>1.3468650988134108</v>
      </c>
      <c r="K63" s="136">
        <f t="shared" si="58"/>
        <v>-0.86211349425937167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F117+F115-F116</f>
        <v>66822.22</v>
      </c>
      <c r="G65" s="76">
        <f t="shared" ref="G65:K65" si="59">G117+G115-G116</f>
        <v>49760.9</v>
      </c>
      <c r="H65" s="76">
        <f t="shared" si="59"/>
        <v>-18606.73</v>
      </c>
      <c r="I65" s="76">
        <f t="shared" si="59"/>
        <v>68363.09</v>
      </c>
      <c r="J65" s="76">
        <f t="shared" si="59"/>
        <v>3902.38</v>
      </c>
      <c r="K65" s="76">
        <f t="shared" si="59"/>
        <v>7350.4400000000005</v>
      </c>
      <c r="L65" s="43" t="s">
        <v>383</v>
      </c>
    </row>
    <row r="66" spans="5:12" ht="26.4" x14ac:dyDescent="0.25">
      <c r="E66" s="52" t="s">
        <v>352</v>
      </c>
      <c r="F66" s="76">
        <f>F112</f>
        <v>68225.17</v>
      </c>
      <c r="G66" s="76">
        <f t="shared" ref="G66:K66" si="60">G112</f>
        <v>48153.87</v>
      </c>
      <c r="H66" s="76">
        <f t="shared" si="60"/>
        <v>-18178.73</v>
      </c>
      <c r="I66" s="76">
        <f t="shared" si="60"/>
        <v>68960.09</v>
      </c>
      <c r="J66" s="76">
        <f t="shared" si="60"/>
        <v>-35361.120000000003</v>
      </c>
      <c r="K66" s="76">
        <f t="shared" si="60"/>
        <v>-25280.58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F117</f>
        <v>66823.740000000005</v>
      </c>
      <c r="G68" s="76">
        <f t="shared" ref="G68:K68" si="61">G117</f>
        <v>48954.34</v>
      </c>
      <c r="H68" s="76">
        <f t="shared" si="61"/>
        <v>-18392.73</v>
      </c>
      <c r="I68" s="76">
        <f t="shared" si="61"/>
        <v>68363.09</v>
      </c>
      <c r="J68" s="76">
        <f t="shared" si="61"/>
        <v>3908.9</v>
      </c>
      <c r="K68" s="76">
        <f t="shared" si="61"/>
        <v>7364.55</v>
      </c>
    </row>
    <row r="69" spans="5:12" x14ac:dyDescent="0.25">
      <c r="E69" s="43" t="s">
        <v>315</v>
      </c>
      <c r="F69" s="76">
        <f>F119</f>
        <v>66823.740000000005</v>
      </c>
      <c r="G69" s="76">
        <f t="shared" ref="G69:K69" si="62">G119</f>
        <v>48954.34</v>
      </c>
      <c r="H69" s="76">
        <f t="shared" si="62"/>
        <v>-18392.73</v>
      </c>
      <c r="I69" s="76">
        <f t="shared" si="62"/>
        <v>68363.09</v>
      </c>
      <c r="J69" s="76">
        <f t="shared" si="62"/>
        <v>3908.9</v>
      </c>
      <c r="K69" s="76">
        <f t="shared" si="62"/>
        <v>7364.55</v>
      </c>
    </row>
    <row r="70" spans="5:12" x14ac:dyDescent="0.25">
      <c r="E70" s="43" t="s">
        <v>358</v>
      </c>
      <c r="F70" s="76">
        <f>F108</f>
        <v>2068303.67</v>
      </c>
      <c r="G70" s="76">
        <f t="shared" ref="G70:K70" si="63">G108</f>
        <v>2617065.79</v>
      </c>
      <c r="H70" s="76">
        <f t="shared" si="63"/>
        <v>1633688.09</v>
      </c>
      <c r="I70" s="76">
        <f t="shared" si="63"/>
        <v>1902352.19</v>
      </c>
      <c r="J70" s="76">
        <f t="shared" si="63"/>
        <v>1088695.6100000001</v>
      </c>
      <c r="K70" s="76">
        <f t="shared" si="63"/>
        <v>1459566.64</v>
      </c>
    </row>
    <row r="71" spans="5:12" x14ac:dyDescent="0.25">
      <c r="E71" s="43" t="s">
        <v>359</v>
      </c>
      <c r="F71" s="76">
        <f>F113</f>
        <v>0.11</v>
      </c>
      <c r="G71" s="76">
        <f t="shared" ref="G71:K71" si="64">G113</f>
        <v>0.03</v>
      </c>
      <c r="H71" s="76">
        <f t="shared" si="64"/>
        <v>0</v>
      </c>
      <c r="I71" s="76">
        <f t="shared" si="64"/>
        <v>0</v>
      </c>
      <c r="J71" s="76">
        <f t="shared" si="64"/>
        <v>39276.54</v>
      </c>
      <c r="K71" s="76">
        <f t="shared" si="64"/>
        <v>56460.08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F115</f>
        <v>0</v>
      </c>
      <c r="G75" s="76">
        <f t="shared" ref="G75:K75" si="65">G115</f>
        <v>806.91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F96</f>
        <v>350783.14</v>
      </c>
      <c r="G79" s="76">
        <f t="shared" ref="G79:K79" si="66">G96</f>
        <v>462807.59</v>
      </c>
      <c r="H79" s="76">
        <f t="shared" si="66"/>
        <v>960046.76</v>
      </c>
      <c r="I79" s="76">
        <f t="shared" si="66"/>
        <v>802058.35</v>
      </c>
      <c r="J79" s="76">
        <f t="shared" si="66"/>
        <v>535365.82999999996</v>
      </c>
      <c r="K79" s="76">
        <f t="shared" si="66"/>
        <v>158699.65</v>
      </c>
    </row>
    <row r="80" spans="5:12" x14ac:dyDescent="0.25">
      <c r="E80" s="43" t="s">
        <v>311</v>
      </c>
      <c r="F80" s="76">
        <f>F97</f>
        <v>213778.25</v>
      </c>
      <c r="G80" s="76">
        <f t="shared" ref="G80:K80" si="67">G97</f>
        <v>152660.5</v>
      </c>
      <c r="H80" s="76">
        <f t="shared" si="67"/>
        <v>103706.16</v>
      </c>
      <c r="I80" s="76">
        <f t="shared" si="67"/>
        <v>122098.89</v>
      </c>
      <c r="J80" s="76">
        <f t="shared" si="67"/>
        <v>2897.38</v>
      </c>
      <c r="K80" s="76">
        <f t="shared" si="67"/>
        <v>-8526.07</v>
      </c>
    </row>
    <row r="81" spans="5:11" x14ac:dyDescent="0.25">
      <c r="E81" s="43" t="s">
        <v>317</v>
      </c>
      <c r="F81" s="76">
        <f>F104</f>
        <v>0</v>
      </c>
      <c r="G81" s="76">
        <f t="shared" ref="G81:K81" si="68">G104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5">
      <c r="E84" s="95" t="s">
        <v>102</v>
      </c>
      <c r="F84" s="97">
        <v>8540</v>
      </c>
      <c r="G84" s="97">
        <v>17080</v>
      </c>
      <c r="H84" s="97">
        <v>25620</v>
      </c>
      <c r="I84" s="97">
        <v>34160</v>
      </c>
      <c r="J84" s="97">
        <v>42957.13</v>
      </c>
      <c r="K84" s="97">
        <v>79673.37</v>
      </c>
    </row>
    <row r="85" spans="5:11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5">
      <c r="E86" s="43" t="s">
        <v>108</v>
      </c>
      <c r="F86" s="97">
        <v>8540</v>
      </c>
      <c r="G86" s="97">
        <v>17080</v>
      </c>
      <c r="H86" s="97">
        <v>25620</v>
      </c>
      <c r="I86" s="97">
        <v>34160</v>
      </c>
      <c r="J86" s="97">
        <v>40977.35</v>
      </c>
      <c r="K86" s="97">
        <v>79673.37</v>
      </c>
    </row>
    <row r="87" spans="5:11" x14ac:dyDescent="0.25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1" x14ac:dyDescent="0.25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1" x14ac:dyDescent="0.25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1" x14ac:dyDescent="0.25">
      <c r="E90" s="95" t="s">
        <v>136</v>
      </c>
      <c r="F90" s="97">
        <v>342243.14</v>
      </c>
      <c r="G90" s="97">
        <v>445727.59</v>
      </c>
      <c r="H90" s="97">
        <v>934426.76</v>
      </c>
      <c r="I90" s="97">
        <v>767898.35</v>
      </c>
      <c r="J90" s="97">
        <v>492408.7</v>
      </c>
      <c r="K90" s="97">
        <v>78843.41</v>
      </c>
    </row>
    <row r="91" spans="5:11" x14ac:dyDescent="0.25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1" x14ac:dyDescent="0.25">
      <c r="E92" s="43" t="s">
        <v>143</v>
      </c>
      <c r="F92" s="97">
        <v>169453.95</v>
      </c>
      <c r="G92" s="97">
        <v>200360.85</v>
      </c>
      <c r="H92" s="97">
        <v>118762.06</v>
      </c>
      <c r="I92" s="97">
        <v>56924.51</v>
      </c>
      <c r="J92" s="97">
        <v>47564.41</v>
      </c>
      <c r="K92" s="97">
        <v>56570.83</v>
      </c>
    </row>
    <row r="93" spans="5:11" x14ac:dyDescent="0.25">
      <c r="E93" s="43" t="s">
        <v>154</v>
      </c>
      <c r="F93" s="97">
        <v>172789.19</v>
      </c>
      <c r="G93" s="97">
        <v>245366.74</v>
      </c>
      <c r="H93" s="97">
        <v>815664.7</v>
      </c>
      <c r="I93" s="97">
        <v>710973.84</v>
      </c>
      <c r="J93" s="97">
        <v>442329.29</v>
      </c>
      <c r="K93" s="97">
        <v>22272.58</v>
      </c>
    </row>
    <row r="94" spans="5:11" x14ac:dyDescent="0.25">
      <c r="E94" s="43" t="s">
        <v>166</v>
      </c>
      <c r="F94" s="97">
        <v>0</v>
      </c>
      <c r="G94" s="97">
        <v>0</v>
      </c>
      <c r="H94" s="97">
        <v>0</v>
      </c>
      <c r="I94" s="97">
        <v>0</v>
      </c>
      <c r="J94" s="97">
        <v>2515</v>
      </c>
      <c r="K94" s="97">
        <v>182.87</v>
      </c>
    </row>
    <row r="95" spans="5:11" x14ac:dyDescent="0.25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</row>
    <row r="96" spans="5:11" x14ac:dyDescent="0.25">
      <c r="E96" s="95" t="s">
        <v>169</v>
      </c>
      <c r="F96" s="97">
        <v>350783.14</v>
      </c>
      <c r="G96" s="97">
        <v>462807.59</v>
      </c>
      <c r="H96" s="97">
        <v>960046.76</v>
      </c>
      <c r="I96" s="97">
        <v>802058.35</v>
      </c>
      <c r="J96" s="97">
        <v>535365.82999999996</v>
      </c>
      <c r="K96" s="97">
        <v>158699.65</v>
      </c>
    </row>
    <row r="97" spans="5:11" x14ac:dyDescent="0.25">
      <c r="E97" s="95" t="s">
        <v>170</v>
      </c>
      <c r="F97" s="97">
        <v>213778.25</v>
      </c>
      <c r="G97" s="97">
        <v>152660.5</v>
      </c>
      <c r="H97" s="97">
        <v>103706.16</v>
      </c>
      <c r="I97" s="97">
        <v>122098.89</v>
      </c>
      <c r="J97" s="97">
        <v>2897.38</v>
      </c>
      <c r="K97" s="97">
        <v>-8526.07</v>
      </c>
    </row>
    <row r="98" spans="5:11" x14ac:dyDescent="0.25">
      <c r="E98" s="43" t="s">
        <v>171</v>
      </c>
      <c r="F98" s="97">
        <v>68663.09</v>
      </c>
      <c r="G98" s="97">
        <v>68663.09</v>
      </c>
      <c r="H98" s="97">
        <v>68663.09</v>
      </c>
      <c r="I98" s="97">
        <v>300</v>
      </c>
      <c r="J98" s="97">
        <v>150</v>
      </c>
      <c r="K98" s="97">
        <v>150</v>
      </c>
    </row>
    <row r="99" spans="5:11" x14ac:dyDescent="0.25">
      <c r="E99" s="43" t="s">
        <v>176</v>
      </c>
      <c r="F99" s="97">
        <v>0</v>
      </c>
      <c r="G99" s="97">
        <v>0</v>
      </c>
      <c r="H99" s="97">
        <v>0</v>
      </c>
      <c r="I99" s="97">
        <v>0</v>
      </c>
      <c r="J99" s="97">
        <v>-1161.52</v>
      </c>
      <c r="K99" s="97">
        <v>0</v>
      </c>
    </row>
    <row r="100" spans="5:11" x14ac:dyDescent="0.25">
      <c r="E100" s="43" t="s">
        <v>179</v>
      </c>
      <c r="F100" s="97">
        <v>78291.42</v>
      </c>
      <c r="G100" s="97">
        <v>35043.07</v>
      </c>
      <c r="H100" s="97">
        <v>53435.8</v>
      </c>
      <c r="I100" s="97">
        <v>53435.8</v>
      </c>
      <c r="J100" s="97">
        <v>0</v>
      </c>
      <c r="K100" s="97">
        <v>-14321.97</v>
      </c>
    </row>
    <row r="101" spans="5:11" x14ac:dyDescent="0.25">
      <c r="E101" s="43" t="s">
        <v>180</v>
      </c>
      <c r="F101" s="97">
        <v>66823.740000000005</v>
      </c>
      <c r="G101" s="97">
        <v>48954.34</v>
      </c>
      <c r="H101" s="97">
        <v>-18392.73</v>
      </c>
      <c r="I101" s="97">
        <v>68363.09</v>
      </c>
      <c r="J101" s="97">
        <v>3908.9</v>
      </c>
      <c r="K101" s="97">
        <v>5645.9</v>
      </c>
    </row>
    <row r="102" spans="5:11" x14ac:dyDescent="0.25">
      <c r="E102" s="95" t="s">
        <v>182</v>
      </c>
      <c r="F102" s="97">
        <v>137004.89000000001</v>
      </c>
      <c r="G102" s="97">
        <v>310147.09000000003</v>
      </c>
      <c r="H102" s="97">
        <v>856340.6</v>
      </c>
      <c r="I102" s="97">
        <v>679959.46</v>
      </c>
      <c r="J102" s="97">
        <v>532468.44999999995</v>
      </c>
      <c r="K102" s="97">
        <v>167225.72</v>
      </c>
    </row>
    <row r="103" spans="5:11" x14ac:dyDescent="0.25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5">
      <c r="E104" s="43" t="s">
        <v>189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</row>
    <row r="105" spans="5:11" x14ac:dyDescent="0.25">
      <c r="E105" s="43" t="s">
        <v>198</v>
      </c>
      <c r="F105" s="97">
        <v>137002.16</v>
      </c>
      <c r="G105" s="97">
        <v>141599.46</v>
      </c>
      <c r="H105" s="97">
        <v>191760.72</v>
      </c>
      <c r="I105" s="97">
        <v>380254.82</v>
      </c>
      <c r="J105" s="97">
        <v>71431.520000000004</v>
      </c>
      <c r="K105" s="97">
        <v>26358.2</v>
      </c>
    </row>
    <row r="106" spans="5:11" x14ac:dyDescent="0.25">
      <c r="E106" s="43" t="s">
        <v>208</v>
      </c>
      <c r="F106" s="97">
        <v>2.73</v>
      </c>
      <c r="G106" s="97">
        <v>168547.63</v>
      </c>
      <c r="H106" s="97">
        <v>664579.88</v>
      </c>
      <c r="I106" s="97">
        <v>299704.64</v>
      </c>
      <c r="J106" s="97">
        <v>461036.93</v>
      </c>
      <c r="K106" s="97">
        <v>140867.51999999999</v>
      </c>
    </row>
    <row r="107" spans="5:11" x14ac:dyDescent="0.25">
      <c r="E107" s="95" t="s">
        <v>212</v>
      </c>
      <c r="F107" s="97">
        <v>350783.14</v>
      </c>
      <c r="G107" s="97">
        <v>462807.59</v>
      </c>
      <c r="H107" s="97">
        <v>960046.76</v>
      </c>
      <c r="I107" s="97">
        <v>802058.35</v>
      </c>
      <c r="J107" s="97">
        <v>535365.82999999996</v>
      </c>
      <c r="K107" s="97">
        <v>158699.65</v>
      </c>
    </row>
    <row r="108" spans="5:11" x14ac:dyDescent="0.25">
      <c r="E108" s="149" t="s">
        <v>274</v>
      </c>
      <c r="F108" s="97">
        <v>2068303.67</v>
      </c>
      <c r="G108" s="97">
        <v>2617065.79</v>
      </c>
      <c r="H108" s="97">
        <v>1633688.09</v>
      </c>
      <c r="I108" s="97">
        <v>1902352.19</v>
      </c>
      <c r="J108" s="97">
        <v>1088695.6100000001</v>
      </c>
      <c r="K108" s="97">
        <v>1459566.64</v>
      </c>
    </row>
    <row r="109" spans="5:11" ht="15" customHeight="1" x14ac:dyDescent="0.25">
      <c r="E109" s="95" t="s">
        <v>275</v>
      </c>
      <c r="F109" s="97">
        <v>2000078.5</v>
      </c>
      <c r="G109" s="97">
        <v>2568911.92</v>
      </c>
      <c r="H109" s="97">
        <v>1651866.82</v>
      </c>
      <c r="I109" s="97">
        <v>1833392.1</v>
      </c>
      <c r="J109" s="97">
        <v>1124056.73</v>
      </c>
      <c r="K109" s="97">
        <v>1484847.22</v>
      </c>
    </row>
    <row r="110" spans="5:11" ht="15" customHeight="1" x14ac:dyDescent="0.25">
      <c r="E110" s="95" t="s">
        <v>276</v>
      </c>
      <c r="F110" s="97">
        <v>68225.17</v>
      </c>
      <c r="G110" s="97">
        <v>48153.87</v>
      </c>
      <c r="H110" s="97">
        <v>-18178.73</v>
      </c>
      <c r="I110" s="97">
        <v>68960.09</v>
      </c>
      <c r="J110" s="97">
        <v>-35361.120000000003</v>
      </c>
      <c r="K110" s="97">
        <v>-25280.58</v>
      </c>
    </row>
    <row r="111" spans="5:11" ht="15" customHeight="1" x14ac:dyDescent="0.25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</row>
    <row r="112" spans="5:11" ht="15" customHeight="1" x14ac:dyDescent="0.25">
      <c r="E112" s="95" t="s">
        <v>277</v>
      </c>
      <c r="F112" s="97">
        <v>68225.17</v>
      </c>
      <c r="G112" s="97">
        <v>48153.87</v>
      </c>
      <c r="H112" s="97">
        <v>-18178.73</v>
      </c>
      <c r="I112" s="97">
        <v>68960.09</v>
      </c>
      <c r="J112" s="97">
        <v>-35361.120000000003</v>
      </c>
      <c r="K112" s="97">
        <v>-25280.58</v>
      </c>
    </row>
    <row r="113" spans="5:11" ht="15" customHeight="1" x14ac:dyDescent="0.25">
      <c r="E113" s="95" t="s">
        <v>278</v>
      </c>
      <c r="F113" s="97">
        <v>0.11</v>
      </c>
      <c r="G113" s="97">
        <v>0.03</v>
      </c>
      <c r="H113" s="97">
        <v>0</v>
      </c>
      <c r="I113" s="97">
        <v>0</v>
      </c>
      <c r="J113" s="97">
        <v>39276.54</v>
      </c>
      <c r="K113" s="97">
        <v>56460.08</v>
      </c>
    </row>
    <row r="114" spans="5:11" x14ac:dyDescent="0.25">
      <c r="E114" s="95" t="s">
        <v>279</v>
      </c>
      <c r="F114" s="97">
        <v>1400.02</v>
      </c>
      <c r="G114" s="97">
        <v>6.12</v>
      </c>
      <c r="H114" s="97">
        <v>0</v>
      </c>
      <c r="I114" s="97">
        <v>597</v>
      </c>
      <c r="J114" s="97">
        <v>0</v>
      </c>
      <c r="K114" s="97">
        <v>23800.84</v>
      </c>
    </row>
    <row r="115" spans="5:11" x14ac:dyDescent="0.25">
      <c r="E115" s="95" t="s">
        <v>1</v>
      </c>
      <c r="F115" s="97">
        <v>0</v>
      </c>
      <c r="G115" s="97">
        <v>806.91</v>
      </c>
      <c r="H115" s="97">
        <v>0</v>
      </c>
      <c r="I115" s="97">
        <v>0</v>
      </c>
      <c r="J115" s="97">
        <v>0</v>
      </c>
      <c r="K115" s="97">
        <v>0</v>
      </c>
    </row>
    <row r="116" spans="5:11" ht="15" customHeight="1" x14ac:dyDescent="0.25">
      <c r="E116" s="95" t="s">
        <v>2</v>
      </c>
      <c r="F116" s="97">
        <v>1.52</v>
      </c>
      <c r="G116" s="97">
        <v>0.35</v>
      </c>
      <c r="H116" s="97">
        <v>214</v>
      </c>
      <c r="I116" s="97">
        <v>0</v>
      </c>
      <c r="J116" s="97">
        <v>6.52</v>
      </c>
      <c r="K116" s="97">
        <v>14.11</v>
      </c>
    </row>
    <row r="117" spans="5:11" ht="15" customHeight="1" x14ac:dyDescent="0.25">
      <c r="E117" s="95" t="s">
        <v>280</v>
      </c>
      <c r="F117" s="97">
        <v>66823.740000000005</v>
      </c>
      <c r="G117" s="97">
        <v>48954.34</v>
      </c>
      <c r="H117" s="97">
        <v>-18392.73</v>
      </c>
      <c r="I117" s="97">
        <v>68363.09</v>
      </c>
      <c r="J117" s="97">
        <v>3908.9</v>
      </c>
      <c r="K117" s="97">
        <v>7364.55</v>
      </c>
    </row>
    <row r="118" spans="5:11" ht="15" customHeight="1" x14ac:dyDescent="0.25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</row>
    <row r="119" spans="5:11" ht="15" customHeight="1" x14ac:dyDescent="0.25">
      <c r="E119" s="95" t="s">
        <v>282</v>
      </c>
      <c r="F119" s="97">
        <v>66823.740000000005</v>
      </c>
      <c r="G119" s="97">
        <v>48954.34</v>
      </c>
      <c r="H119" s="97">
        <v>-18392.73</v>
      </c>
      <c r="I119" s="97">
        <v>68363.09</v>
      </c>
      <c r="J119" s="97">
        <v>3908.9</v>
      </c>
      <c r="K119" s="97">
        <v>7364.55</v>
      </c>
    </row>
    <row r="120" spans="5:11" x14ac:dyDescent="0.25">
      <c r="E120" s="98"/>
      <c r="F120" s="97"/>
      <c r="G120" s="97"/>
      <c r="H120" s="97"/>
      <c r="I120" s="97"/>
      <c r="J120" s="97"/>
      <c r="K120" s="97"/>
    </row>
    <row r="121" spans="5:11" x14ac:dyDescent="0.25">
      <c r="E121" s="98"/>
      <c r="F121" s="97"/>
      <c r="G121" s="97"/>
      <c r="H121" s="97"/>
      <c r="I121" s="97"/>
      <c r="J121" s="97"/>
      <c r="K121" s="97"/>
    </row>
    <row r="122" spans="5:11" x14ac:dyDescent="0.25">
      <c r="E122" s="98"/>
      <c r="F122" s="97"/>
      <c r="G122" s="97"/>
      <c r="H122" s="97"/>
      <c r="I122" s="97"/>
      <c r="J122" s="97"/>
      <c r="K122" s="97"/>
    </row>
    <row r="123" spans="5:11" x14ac:dyDescent="0.25">
      <c r="E123" s="98"/>
      <c r="F123" s="97"/>
      <c r="G123" s="97"/>
      <c r="H123" s="97"/>
      <c r="I123" s="97"/>
      <c r="J123" s="97"/>
      <c r="K123" s="97"/>
    </row>
    <row r="124" spans="5:11" x14ac:dyDescent="0.25">
      <c r="E124" s="98"/>
      <c r="F124" s="97"/>
      <c r="G124" s="97"/>
      <c r="H124" s="97"/>
      <c r="I124" s="97"/>
      <c r="J124" s="97"/>
      <c r="K124" s="97"/>
    </row>
    <row r="125" spans="5:11" ht="15" customHeight="1" x14ac:dyDescent="0.25">
      <c r="E125" s="98"/>
      <c r="F125" s="97"/>
      <c r="G125" s="97"/>
      <c r="H125" s="97"/>
      <c r="I125" s="97"/>
      <c r="J125" s="97"/>
      <c r="K125" s="97"/>
    </row>
    <row r="126" spans="5:11" x14ac:dyDescent="0.25">
      <c r="E126" s="98"/>
      <c r="F126" s="97"/>
      <c r="G126" s="97"/>
      <c r="H126" s="97"/>
      <c r="I126" s="97"/>
      <c r="J126" s="97"/>
      <c r="K126" s="97"/>
    </row>
    <row r="127" spans="5:11" ht="15" customHeight="1" x14ac:dyDescent="0.25">
      <c r="E127" s="98"/>
      <c r="F127" s="97"/>
      <c r="G127" s="97"/>
      <c r="H127" s="97"/>
      <c r="I127" s="97"/>
      <c r="J127" s="97"/>
      <c r="K127" s="97"/>
    </row>
    <row r="128" spans="5:11" ht="15" customHeight="1" x14ac:dyDescent="0.25">
      <c r="E128" s="98"/>
      <c r="F128" s="97"/>
      <c r="G128" s="97"/>
      <c r="H128" s="97"/>
      <c r="I128" s="97"/>
      <c r="J128" s="97"/>
      <c r="K128" s="97"/>
    </row>
    <row r="129" spans="5:11" ht="15" customHeight="1" x14ac:dyDescent="0.25">
      <c r="E129" s="98"/>
      <c r="F129" s="97"/>
      <c r="G129" s="97"/>
      <c r="H129" s="97"/>
      <c r="I129" s="97"/>
      <c r="J129" s="97"/>
      <c r="K129" s="97"/>
    </row>
    <row r="130" spans="5:11" ht="15" customHeight="1" x14ac:dyDescent="0.25">
      <c r="E130" s="98"/>
      <c r="F130" s="97"/>
      <c r="G130" s="97"/>
      <c r="H130" s="97"/>
      <c r="I130" s="97"/>
      <c r="J130" s="97"/>
      <c r="K130" s="97"/>
    </row>
    <row r="131" spans="5:11" ht="15" customHeight="1" x14ac:dyDescent="0.25">
      <c r="E131" s="98"/>
      <c r="F131" s="97"/>
      <c r="G131" s="97"/>
      <c r="H131" s="97"/>
      <c r="I131" s="97"/>
      <c r="J131" s="97"/>
      <c r="K131" s="97"/>
    </row>
    <row r="132" spans="5:11" x14ac:dyDescent="0.25">
      <c r="E132" s="98"/>
      <c r="F132" s="97"/>
      <c r="G132" s="97"/>
      <c r="H132" s="97"/>
      <c r="I132" s="97"/>
      <c r="J132" s="97"/>
      <c r="K132" s="97"/>
    </row>
    <row r="133" spans="5:11" x14ac:dyDescent="0.25">
      <c r="F133" s="97"/>
      <c r="G133" s="97"/>
      <c r="H133" s="97"/>
      <c r="I133" s="97"/>
      <c r="J133" s="97"/>
      <c r="K133" s="97"/>
    </row>
    <row r="134" spans="5:11" x14ac:dyDescent="0.25">
      <c r="F134" s="97"/>
      <c r="G134" s="97"/>
      <c r="H134" s="97"/>
      <c r="I134" s="97"/>
      <c r="J134" s="97"/>
      <c r="K134" s="97"/>
    </row>
    <row r="135" spans="5:11" x14ac:dyDescent="0.25">
      <c r="F135" s="97"/>
      <c r="G135" s="97"/>
      <c r="H135" s="97"/>
      <c r="I135" s="97"/>
      <c r="J135" s="97"/>
      <c r="K135" s="97"/>
    </row>
    <row r="136" spans="5:11" x14ac:dyDescent="0.25">
      <c r="F136" s="97"/>
      <c r="G136" s="97"/>
      <c r="H136" s="97"/>
      <c r="I136" s="97"/>
      <c r="J136" s="97"/>
      <c r="K136" s="97"/>
    </row>
    <row r="137" spans="5:11" x14ac:dyDescent="0.25">
      <c r="F137" s="97"/>
      <c r="G137" s="97"/>
      <c r="H137" s="97"/>
      <c r="I137" s="97"/>
      <c r="J137" s="97"/>
      <c r="K137" s="97"/>
    </row>
    <row r="138" spans="5:11" x14ac:dyDescent="0.25">
      <c r="F138" s="97"/>
      <c r="G138" s="97"/>
      <c r="H138" s="97"/>
      <c r="I138" s="97"/>
      <c r="J138" s="97"/>
      <c r="K138" s="97"/>
    </row>
    <row r="139" spans="5:11" x14ac:dyDescent="0.25">
      <c r="F139" s="97"/>
      <c r="G139" s="97"/>
      <c r="H139" s="97"/>
      <c r="I139" s="97"/>
      <c r="J139" s="97"/>
      <c r="K139" s="97"/>
    </row>
    <row r="140" spans="5:11" x14ac:dyDescent="0.25">
      <c r="F140" s="97"/>
      <c r="G140" s="97"/>
      <c r="H140" s="97"/>
      <c r="I140" s="97"/>
      <c r="J140" s="97"/>
      <c r="K140" s="97"/>
    </row>
    <row r="141" spans="5:11" x14ac:dyDescent="0.25">
      <c r="F141" s="97"/>
      <c r="G141" s="97"/>
      <c r="H141" s="97"/>
      <c r="I141" s="97"/>
      <c r="J141" s="97"/>
      <c r="K141" s="97"/>
    </row>
    <row r="142" spans="5:11" x14ac:dyDescent="0.25">
      <c r="F142" s="97"/>
      <c r="G142" s="97"/>
      <c r="H142" s="97"/>
      <c r="I142" s="97"/>
      <c r="J142" s="97"/>
      <c r="K142" s="97"/>
    </row>
    <row r="143" spans="5:11" x14ac:dyDescent="0.25">
      <c r="F143" s="97"/>
      <c r="G143" s="97"/>
      <c r="H143" s="97"/>
      <c r="I143" s="97"/>
      <c r="J143" s="97"/>
      <c r="K143" s="97"/>
    </row>
    <row r="144" spans="5:11" x14ac:dyDescent="0.25">
      <c r="F144" s="97"/>
      <c r="G144" s="97"/>
      <c r="H144" s="97"/>
      <c r="I144" s="97"/>
      <c r="J144" s="97"/>
      <c r="K144" s="97"/>
    </row>
    <row r="145" spans="6:11" x14ac:dyDescent="0.25">
      <c r="F145" s="97"/>
      <c r="G145" s="97"/>
      <c r="H145" s="97"/>
      <c r="I145" s="97"/>
      <c r="J145" s="97"/>
      <c r="K145" s="97"/>
    </row>
    <row r="146" spans="6:11" x14ac:dyDescent="0.25">
      <c r="F146" s="97"/>
      <c r="G146" s="97"/>
      <c r="H146" s="97"/>
      <c r="I146" s="97"/>
      <c r="J146" s="97"/>
      <c r="K146" s="97"/>
    </row>
    <row r="147" spans="6:11" x14ac:dyDescent="0.25">
      <c r="F147" s="97"/>
      <c r="G147" s="97"/>
      <c r="H147" s="97"/>
      <c r="I147" s="97"/>
      <c r="J147" s="97"/>
      <c r="K147" s="97"/>
    </row>
    <row r="148" spans="6:11" x14ac:dyDescent="0.25">
      <c r="F148" s="97"/>
      <c r="G148" s="97"/>
      <c r="H148" s="97"/>
      <c r="I148" s="97"/>
      <c r="J148" s="97"/>
      <c r="K148" s="97"/>
    </row>
    <row r="149" spans="6:11" x14ac:dyDescent="0.25">
      <c r="F149" s="97"/>
      <c r="G149" s="97"/>
      <c r="H149" s="97"/>
      <c r="I149" s="97"/>
      <c r="J149" s="97"/>
      <c r="K149" s="97"/>
    </row>
    <row r="150" spans="6:11" x14ac:dyDescent="0.25">
      <c r="F150" s="97"/>
      <c r="G150" s="97"/>
      <c r="H150" s="97"/>
      <c r="I150" s="97"/>
      <c r="J150" s="97"/>
      <c r="K150" s="97"/>
    </row>
    <row r="151" spans="6:11" x14ac:dyDescent="0.25">
      <c r="F151" s="97"/>
      <c r="G151" s="97"/>
      <c r="H151" s="97"/>
      <c r="I151" s="97"/>
      <c r="J151" s="97"/>
      <c r="K151" s="97"/>
    </row>
    <row r="152" spans="6:11" x14ac:dyDescent="0.25">
      <c r="F152" s="97"/>
      <c r="G152" s="97"/>
      <c r="H152" s="97"/>
      <c r="I152" s="97"/>
      <c r="J152" s="97"/>
      <c r="K152" s="97"/>
    </row>
    <row r="153" spans="6:11" x14ac:dyDescent="0.25">
      <c r="F153" s="97"/>
      <c r="G153" s="97"/>
      <c r="H153" s="97"/>
      <c r="I153" s="97"/>
      <c r="J153" s="97"/>
      <c r="K153" s="97"/>
    </row>
    <row r="154" spans="6:11" x14ac:dyDescent="0.25">
      <c r="F154" s="97"/>
      <c r="G154" s="97"/>
      <c r="H154" s="97"/>
      <c r="I154" s="97"/>
      <c r="J154" s="97"/>
      <c r="K154" s="97"/>
    </row>
    <row r="155" spans="6:11" x14ac:dyDescent="0.25">
      <c r="F155" s="97"/>
      <c r="G155" s="97"/>
      <c r="H155" s="97"/>
      <c r="I155" s="97"/>
      <c r="J155" s="97"/>
      <c r="K155" s="97"/>
    </row>
    <row r="156" spans="6:11" x14ac:dyDescent="0.25">
      <c r="F156" s="97"/>
      <c r="G156" s="97"/>
      <c r="H156" s="97"/>
      <c r="I156" s="97"/>
      <c r="J156" s="97"/>
      <c r="K156" s="97"/>
    </row>
    <row r="157" spans="6:11" x14ac:dyDescent="0.25">
      <c r="F157" s="97"/>
      <c r="G157" s="97"/>
      <c r="H157" s="97"/>
      <c r="I157" s="97"/>
      <c r="J157" s="97"/>
      <c r="K157" s="97"/>
    </row>
    <row r="158" spans="6:11" x14ac:dyDescent="0.25">
      <c r="F158" s="97"/>
      <c r="G158" s="97"/>
      <c r="H158" s="97"/>
      <c r="I158" s="97"/>
      <c r="J158" s="97"/>
      <c r="K158" s="97"/>
    </row>
    <row r="159" spans="6:11" x14ac:dyDescent="0.25">
      <c r="F159" s="97"/>
      <c r="G159" s="97"/>
      <c r="H159" s="97"/>
      <c r="I159" s="97"/>
      <c r="J159" s="97"/>
      <c r="K159" s="97"/>
    </row>
    <row r="160" spans="6:11" x14ac:dyDescent="0.25">
      <c r="F160" s="99"/>
      <c r="G160" s="99"/>
      <c r="H160" s="100"/>
      <c r="I160" s="100"/>
      <c r="K160" s="102"/>
    </row>
    <row r="161" spans="6:11" x14ac:dyDescent="0.25">
      <c r="F161" s="99"/>
      <c r="G161" s="99"/>
      <c r="H161" s="100"/>
      <c r="I161" s="100"/>
      <c r="K161" s="102"/>
    </row>
    <row r="162" spans="6:11" x14ac:dyDescent="0.25">
      <c r="F162" s="99"/>
      <c r="G162" s="99"/>
      <c r="H162" s="100"/>
      <c r="I162" s="100"/>
      <c r="K162" s="102"/>
    </row>
    <row r="163" spans="6:11" x14ac:dyDescent="0.25">
      <c r="F163" s="99"/>
      <c r="G163" s="99"/>
      <c r="H163" s="100"/>
      <c r="I163" s="100"/>
      <c r="K163" s="102"/>
    </row>
    <row r="164" spans="6:11" x14ac:dyDescent="0.25">
      <c r="F164" s="99"/>
      <c r="G164" s="99"/>
      <c r="H164" s="100"/>
      <c r="I164" s="100"/>
      <c r="K164" s="102"/>
    </row>
    <row r="165" spans="6:11" x14ac:dyDescent="0.25">
      <c r="F165" s="99"/>
      <c r="G165" s="99"/>
      <c r="H165" s="100"/>
      <c r="I165" s="100"/>
      <c r="K165" s="102"/>
    </row>
    <row r="166" spans="6:11" x14ac:dyDescent="0.25">
      <c r="F166" s="99"/>
      <c r="G166" s="99"/>
      <c r="H166" s="100"/>
      <c r="I166" s="100"/>
      <c r="K166" s="102"/>
    </row>
    <row r="167" spans="6:11" x14ac:dyDescent="0.25">
      <c r="F167" s="99"/>
      <c r="G167" s="99"/>
      <c r="H167" s="100"/>
      <c r="I167" s="100"/>
      <c r="K167" s="102"/>
    </row>
    <row r="168" spans="6:11" x14ac:dyDescent="0.25">
      <c r="F168" s="99"/>
      <c r="G168" s="99"/>
      <c r="H168" s="100"/>
      <c r="I168" s="100"/>
      <c r="K168" s="102"/>
    </row>
    <row r="169" spans="6:11" x14ac:dyDescent="0.25">
      <c r="F169" s="99"/>
      <c r="G169" s="99"/>
      <c r="H169" s="100"/>
      <c r="I169" s="100"/>
      <c r="K169" s="102"/>
    </row>
    <row r="170" spans="6:11" x14ac:dyDescent="0.25">
      <c r="F170" s="99"/>
      <c r="G170" s="99"/>
      <c r="H170" s="100"/>
      <c r="I170" s="100"/>
      <c r="K170" s="102"/>
    </row>
    <row r="171" spans="6:11" x14ac:dyDescent="0.25">
      <c r="F171" s="99"/>
      <c r="G171" s="99"/>
      <c r="H171" s="100"/>
      <c r="I171" s="100"/>
      <c r="K171" s="102"/>
    </row>
    <row r="172" spans="6:11" x14ac:dyDescent="0.25">
      <c r="F172" s="99"/>
      <c r="G172" s="99"/>
      <c r="H172" s="100"/>
      <c r="I172" s="100"/>
      <c r="K172" s="102"/>
    </row>
    <row r="173" spans="6:11" x14ac:dyDescent="0.25">
      <c r="F173" s="99"/>
      <c r="G173" s="99"/>
      <c r="H173" s="100"/>
      <c r="I173" s="100"/>
      <c r="K173" s="102"/>
    </row>
    <row r="174" spans="6:11" x14ac:dyDescent="0.25">
      <c r="F174" s="99"/>
      <c r="G174" s="99"/>
      <c r="H174" s="100"/>
      <c r="I174" s="100"/>
      <c r="K174" s="102"/>
    </row>
    <row r="175" spans="6:11" x14ac:dyDescent="0.25">
      <c r="F175" s="99"/>
      <c r="G175" s="99"/>
      <c r="H175" s="100"/>
      <c r="I175" s="100"/>
      <c r="K175" s="102"/>
    </row>
    <row r="176" spans="6:11" x14ac:dyDescent="0.25">
      <c r="F176" s="99"/>
      <c r="G176" s="99"/>
      <c r="H176" s="100"/>
      <c r="I176" s="100"/>
      <c r="K176" s="102"/>
    </row>
    <row r="177" spans="6:11" x14ac:dyDescent="0.25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BC9D2-B66A-4B86-A623-A6DAE33841CB}">
  <sheetPr>
    <tabColor theme="4" tint="0.79998168889431442"/>
  </sheetPr>
  <dimension ref="A1:L119"/>
  <sheetViews>
    <sheetView topLeftCell="A255" workbookViewId="0">
      <selection sqref="A1:L289"/>
    </sheetView>
  </sheetViews>
  <sheetFormatPr defaultRowHeight="13.2" x14ac:dyDescent="0.25"/>
  <cols>
    <col min="1" max="2" width="9.109375" style="43"/>
    <col min="3" max="4" width="9.88671875" style="79" customWidth="1"/>
    <col min="5" max="5" width="59.88671875" style="43" customWidth="1"/>
    <col min="6" max="11" width="18.33203125" style="43" customWidth="1"/>
    <col min="12" max="259" width="9.109375" style="43"/>
    <col min="260" max="260" width="54" style="43" customWidth="1"/>
    <col min="261" max="266" width="24" style="43" customWidth="1"/>
    <col min="267" max="515" width="9.109375" style="43"/>
    <col min="516" max="516" width="54" style="43" customWidth="1"/>
    <col min="517" max="522" width="24" style="43" customWidth="1"/>
    <col min="523" max="771" width="9.109375" style="43"/>
    <col min="772" max="772" width="54" style="43" customWidth="1"/>
    <col min="773" max="778" width="24" style="43" customWidth="1"/>
    <col min="779" max="1027" width="9.109375" style="43"/>
    <col min="1028" max="1028" width="54" style="43" customWidth="1"/>
    <col min="1029" max="1034" width="24" style="43" customWidth="1"/>
    <col min="1035" max="1283" width="9.109375" style="43"/>
    <col min="1284" max="1284" width="54" style="43" customWidth="1"/>
    <col min="1285" max="1290" width="24" style="43" customWidth="1"/>
    <col min="1291" max="1539" width="9.109375" style="43"/>
    <col min="1540" max="1540" width="54" style="43" customWidth="1"/>
    <col min="1541" max="1546" width="24" style="43" customWidth="1"/>
    <col min="1547" max="1795" width="9.109375" style="43"/>
    <col min="1796" max="1796" width="54" style="43" customWidth="1"/>
    <col min="1797" max="1802" width="24" style="43" customWidth="1"/>
    <col min="1803" max="2051" width="9.109375" style="43"/>
    <col min="2052" max="2052" width="54" style="43" customWidth="1"/>
    <col min="2053" max="2058" width="24" style="43" customWidth="1"/>
    <col min="2059" max="2307" width="9.109375" style="43"/>
    <col min="2308" max="2308" width="54" style="43" customWidth="1"/>
    <col min="2309" max="2314" width="24" style="43" customWidth="1"/>
    <col min="2315" max="2563" width="9.109375" style="43"/>
    <col min="2564" max="2564" width="54" style="43" customWidth="1"/>
    <col min="2565" max="2570" width="24" style="43" customWidth="1"/>
    <col min="2571" max="2819" width="9.109375" style="43"/>
    <col min="2820" max="2820" width="54" style="43" customWidth="1"/>
    <col min="2821" max="2826" width="24" style="43" customWidth="1"/>
    <col min="2827" max="3075" width="9.109375" style="43"/>
    <col min="3076" max="3076" width="54" style="43" customWidth="1"/>
    <col min="3077" max="3082" width="24" style="43" customWidth="1"/>
    <col min="3083" max="3331" width="9.109375" style="43"/>
    <col min="3332" max="3332" width="54" style="43" customWidth="1"/>
    <col min="3333" max="3338" width="24" style="43" customWidth="1"/>
    <col min="3339" max="3587" width="9.109375" style="43"/>
    <col min="3588" max="3588" width="54" style="43" customWidth="1"/>
    <col min="3589" max="3594" width="24" style="43" customWidth="1"/>
    <col min="3595" max="3843" width="9.109375" style="43"/>
    <col min="3844" max="3844" width="54" style="43" customWidth="1"/>
    <col min="3845" max="3850" width="24" style="43" customWidth="1"/>
    <col min="3851" max="4099" width="9.109375" style="43"/>
    <col min="4100" max="4100" width="54" style="43" customWidth="1"/>
    <col min="4101" max="4106" width="24" style="43" customWidth="1"/>
    <col min="4107" max="4355" width="9.109375" style="43"/>
    <col min="4356" max="4356" width="54" style="43" customWidth="1"/>
    <col min="4357" max="4362" width="24" style="43" customWidth="1"/>
    <col min="4363" max="4611" width="9.109375" style="43"/>
    <col min="4612" max="4612" width="54" style="43" customWidth="1"/>
    <col min="4613" max="4618" width="24" style="43" customWidth="1"/>
    <col min="4619" max="4867" width="9.109375" style="43"/>
    <col min="4868" max="4868" width="54" style="43" customWidth="1"/>
    <col min="4869" max="4874" width="24" style="43" customWidth="1"/>
    <col min="4875" max="5123" width="9.109375" style="43"/>
    <col min="5124" max="5124" width="54" style="43" customWidth="1"/>
    <col min="5125" max="5130" width="24" style="43" customWidth="1"/>
    <col min="5131" max="5379" width="9.109375" style="43"/>
    <col min="5380" max="5380" width="54" style="43" customWidth="1"/>
    <col min="5381" max="5386" width="24" style="43" customWidth="1"/>
    <col min="5387" max="5635" width="9.109375" style="43"/>
    <col min="5636" max="5636" width="54" style="43" customWidth="1"/>
    <col min="5637" max="5642" width="24" style="43" customWidth="1"/>
    <col min="5643" max="5891" width="9.109375" style="43"/>
    <col min="5892" max="5892" width="54" style="43" customWidth="1"/>
    <col min="5893" max="5898" width="24" style="43" customWidth="1"/>
    <col min="5899" max="6147" width="9.109375" style="43"/>
    <col min="6148" max="6148" width="54" style="43" customWidth="1"/>
    <col min="6149" max="6154" width="24" style="43" customWidth="1"/>
    <col min="6155" max="6403" width="9.109375" style="43"/>
    <col min="6404" max="6404" width="54" style="43" customWidth="1"/>
    <col min="6405" max="6410" width="24" style="43" customWidth="1"/>
    <col min="6411" max="6659" width="9.109375" style="43"/>
    <col min="6660" max="6660" width="54" style="43" customWidth="1"/>
    <col min="6661" max="6666" width="24" style="43" customWidth="1"/>
    <col min="6667" max="6915" width="9.109375" style="43"/>
    <col min="6916" max="6916" width="54" style="43" customWidth="1"/>
    <col min="6917" max="6922" width="24" style="43" customWidth="1"/>
    <col min="6923" max="7171" width="9.109375" style="43"/>
    <col min="7172" max="7172" width="54" style="43" customWidth="1"/>
    <col min="7173" max="7178" width="24" style="43" customWidth="1"/>
    <col min="7179" max="7427" width="9.109375" style="43"/>
    <col min="7428" max="7428" width="54" style="43" customWidth="1"/>
    <col min="7429" max="7434" width="24" style="43" customWidth="1"/>
    <col min="7435" max="7683" width="9.109375" style="43"/>
    <col min="7684" max="7684" width="54" style="43" customWidth="1"/>
    <col min="7685" max="7690" width="24" style="43" customWidth="1"/>
    <col min="7691" max="7939" width="9.109375" style="43"/>
    <col min="7940" max="7940" width="54" style="43" customWidth="1"/>
    <col min="7941" max="7946" width="24" style="43" customWidth="1"/>
    <col min="7947" max="8195" width="9.109375" style="43"/>
    <col min="8196" max="8196" width="54" style="43" customWidth="1"/>
    <col min="8197" max="8202" width="24" style="43" customWidth="1"/>
    <col min="8203" max="8451" width="9.109375" style="43"/>
    <col min="8452" max="8452" width="54" style="43" customWidth="1"/>
    <col min="8453" max="8458" width="24" style="43" customWidth="1"/>
    <col min="8459" max="8707" width="9.109375" style="43"/>
    <col min="8708" max="8708" width="54" style="43" customWidth="1"/>
    <col min="8709" max="8714" width="24" style="43" customWidth="1"/>
    <col min="8715" max="8963" width="9.109375" style="43"/>
    <col min="8964" max="8964" width="54" style="43" customWidth="1"/>
    <col min="8965" max="8970" width="24" style="43" customWidth="1"/>
    <col min="8971" max="9219" width="9.109375" style="43"/>
    <col min="9220" max="9220" width="54" style="43" customWidth="1"/>
    <col min="9221" max="9226" width="24" style="43" customWidth="1"/>
    <col min="9227" max="9475" width="9.109375" style="43"/>
    <col min="9476" max="9476" width="54" style="43" customWidth="1"/>
    <col min="9477" max="9482" width="24" style="43" customWidth="1"/>
    <col min="9483" max="9731" width="9.109375" style="43"/>
    <col min="9732" max="9732" width="54" style="43" customWidth="1"/>
    <col min="9733" max="9738" width="24" style="43" customWidth="1"/>
    <col min="9739" max="9987" width="9.109375" style="43"/>
    <col min="9988" max="9988" width="54" style="43" customWidth="1"/>
    <col min="9989" max="9994" width="24" style="43" customWidth="1"/>
    <col min="9995" max="10243" width="9.109375" style="43"/>
    <col min="10244" max="10244" width="54" style="43" customWidth="1"/>
    <col min="10245" max="10250" width="24" style="43" customWidth="1"/>
    <col min="10251" max="10499" width="9.109375" style="43"/>
    <col min="10500" max="10500" width="54" style="43" customWidth="1"/>
    <col min="10501" max="10506" width="24" style="43" customWidth="1"/>
    <col min="10507" max="10755" width="9.109375" style="43"/>
    <col min="10756" max="10756" width="54" style="43" customWidth="1"/>
    <col min="10757" max="10762" width="24" style="43" customWidth="1"/>
    <col min="10763" max="11011" width="9.109375" style="43"/>
    <col min="11012" max="11012" width="54" style="43" customWidth="1"/>
    <col min="11013" max="11018" width="24" style="43" customWidth="1"/>
    <col min="11019" max="11267" width="9.109375" style="43"/>
    <col min="11268" max="11268" width="54" style="43" customWidth="1"/>
    <col min="11269" max="11274" width="24" style="43" customWidth="1"/>
    <col min="11275" max="11523" width="9.109375" style="43"/>
    <col min="11524" max="11524" width="54" style="43" customWidth="1"/>
    <col min="11525" max="11530" width="24" style="43" customWidth="1"/>
    <col min="11531" max="11779" width="9.109375" style="43"/>
    <col min="11780" max="11780" width="54" style="43" customWidth="1"/>
    <col min="11781" max="11786" width="24" style="43" customWidth="1"/>
    <col min="11787" max="12035" width="9.109375" style="43"/>
    <col min="12036" max="12036" width="54" style="43" customWidth="1"/>
    <col min="12037" max="12042" width="24" style="43" customWidth="1"/>
    <col min="12043" max="12291" width="9.109375" style="43"/>
    <col min="12292" max="12292" width="54" style="43" customWidth="1"/>
    <col min="12293" max="12298" width="24" style="43" customWidth="1"/>
    <col min="12299" max="12547" width="9.109375" style="43"/>
    <col min="12548" max="12548" width="54" style="43" customWidth="1"/>
    <col min="12549" max="12554" width="24" style="43" customWidth="1"/>
    <col min="12555" max="12803" width="9.109375" style="43"/>
    <col min="12804" max="12804" width="54" style="43" customWidth="1"/>
    <col min="12805" max="12810" width="24" style="43" customWidth="1"/>
    <col min="12811" max="13059" width="9.109375" style="43"/>
    <col min="13060" max="13060" width="54" style="43" customWidth="1"/>
    <col min="13061" max="13066" width="24" style="43" customWidth="1"/>
    <col min="13067" max="13315" width="9.109375" style="43"/>
    <col min="13316" max="13316" width="54" style="43" customWidth="1"/>
    <col min="13317" max="13322" width="24" style="43" customWidth="1"/>
    <col min="13323" max="13571" width="9.109375" style="43"/>
    <col min="13572" max="13572" width="54" style="43" customWidth="1"/>
    <col min="13573" max="13578" width="24" style="43" customWidth="1"/>
    <col min="13579" max="13827" width="9.109375" style="43"/>
    <col min="13828" max="13828" width="54" style="43" customWidth="1"/>
    <col min="13829" max="13834" width="24" style="43" customWidth="1"/>
    <col min="13835" max="14083" width="9.109375" style="43"/>
    <col min="14084" max="14084" width="54" style="43" customWidth="1"/>
    <col min="14085" max="14090" width="24" style="43" customWidth="1"/>
    <col min="14091" max="14339" width="9.109375" style="43"/>
    <col min="14340" max="14340" width="54" style="43" customWidth="1"/>
    <col min="14341" max="14346" width="24" style="43" customWidth="1"/>
    <col min="14347" max="14595" width="9.109375" style="43"/>
    <col min="14596" max="14596" width="54" style="43" customWidth="1"/>
    <col min="14597" max="14602" width="24" style="43" customWidth="1"/>
    <col min="14603" max="14851" width="9.109375" style="43"/>
    <col min="14852" max="14852" width="54" style="43" customWidth="1"/>
    <col min="14853" max="14858" width="24" style="43" customWidth="1"/>
    <col min="14859" max="15107" width="9.109375" style="43"/>
    <col min="15108" max="15108" width="54" style="43" customWidth="1"/>
    <col min="15109" max="15114" width="24" style="43" customWidth="1"/>
    <col min="15115" max="15363" width="9.109375" style="43"/>
    <col min="15364" max="15364" width="54" style="43" customWidth="1"/>
    <col min="15365" max="15370" width="24" style="43" customWidth="1"/>
    <col min="15371" max="15619" width="9.109375" style="43"/>
    <col min="15620" max="15620" width="54" style="43" customWidth="1"/>
    <col min="15621" max="15626" width="24" style="43" customWidth="1"/>
    <col min="15627" max="15875" width="9.109375" style="43"/>
    <col min="15876" max="15876" width="54" style="43" customWidth="1"/>
    <col min="15877" max="15882" width="24" style="43" customWidth="1"/>
    <col min="15883" max="16131" width="9.109375" style="43"/>
    <col min="16132" max="16132" width="54" style="43" customWidth="1"/>
    <col min="16133" max="16138" width="24" style="43" customWidth="1"/>
    <col min="16139" max="16384" width="9.109375" style="43"/>
  </cols>
  <sheetData>
    <row r="1" spans="1:11" ht="13.8" x14ac:dyDescent="0.25">
      <c r="E1" s="182" t="s">
        <v>405</v>
      </c>
      <c r="F1" s="180"/>
      <c r="G1" s="180"/>
      <c r="H1" s="180"/>
      <c r="I1" s="180"/>
      <c r="J1" s="180"/>
      <c r="K1" s="180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0.22248281057483155</v>
      </c>
      <c r="B4" s="139">
        <f>MAX(F4:K4)</f>
        <v>1.662420734551382</v>
      </c>
      <c r="C4" s="155">
        <f>AVERAGE(F4:K4)</f>
        <v>0.91612814092050165</v>
      </c>
      <c r="D4" s="156">
        <f>MEDIAN(F4:K4)</f>
        <v>1.0923485534632538</v>
      </c>
      <c r="E4" s="47" t="s">
        <v>364</v>
      </c>
      <c r="F4" s="71">
        <f>SUM(F9:F12)/SUM(F13:F15)</f>
        <v>1.133096801339613</v>
      </c>
      <c r="G4" s="71">
        <f t="shared" ref="G4:K4" si="0">SUM(G9:G12)/SUM(G13:G15)</f>
        <v>1.662420734551382</v>
      </c>
      <c r="H4" s="71">
        <f t="shared" si="0"/>
        <v>1.0939554971514529</v>
      </c>
      <c r="I4" s="71">
        <f t="shared" si="0"/>
        <v>1.0907416097750544</v>
      </c>
      <c r="J4" s="71">
        <f t="shared" si="0"/>
        <v>0.29407139213067607</v>
      </c>
      <c r="K4" s="71">
        <f t="shared" si="0"/>
        <v>0.22248281057483155</v>
      </c>
    </row>
    <row r="5" spans="1:11" x14ac:dyDescent="0.25">
      <c r="A5" s="139">
        <f t="shared" ref="A5:A7" si="1">MIN(F5:K5)</f>
        <v>0.40422363175500881</v>
      </c>
      <c r="B5" s="139">
        <f t="shared" ref="B5:B7" si="2">MAX(F5:K5)</f>
        <v>5.0362789039961138</v>
      </c>
      <c r="C5" s="155">
        <f t="shared" ref="C5:C7" si="3">AVERAGEIF(F5:K5,"&gt;0")</f>
        <v>2.0001778192837487</v>
      </c>
      <c r="D5" s="156">
        <f t="shared" ref="D5:D7" si="4">_xlfn.AGGREGATE(12,6,F5:K5)</f>
        <v>1.7060890426275415</v>
      </c>
      <c r="E5" s="47" t="s">
        <v>363</v>
      </c>
      <c r="F5" s="71">
        <f t="shared" ref="F5:K5" si="5">SUM(F9:F12)/F14</f>
        <v>1.133096801339613</v>
      </c>
      <c r="G5" s="71">
        <f t="shared" si="5"/>
        <v>1.662420734551382</v>
      </c>
      <c r="H5" s="71">
        <f t="shared" si="5"/>
        <v>2.015289493356673</v>
      </c>
      <c r="I5" s="71">
        <f t="shared" si="5"/>
        <v>5.0362789039961138</v>
      </c>
      <c r="J5" s="71">
        <f t="shared" si="5"/>
        <v>1.7497573507037012</v>
      </c>
      <c r="K5" s="71">
        <f t="shared" si="5"/>
        <v>0.40422363175500881</v>
      </c>
    </row>
    <row r="6" spans="1:11" x14ac:dyDescent="0.25">
      <c r="A6" s="139">
        <f t="shared" si="1"/>
        <v>0.40316408259243208</v>
      </c>
      <c r="B6" s="139">
        <f t="shared" si="2"/>
        <v>5.0305419149216792</v>
      </c>
      <c r="C6" s="155">
        <f t="shared" si="3"/>
        <v>1.9969597647837671</v>
      </c>
      <c r="D6" s="156">
        <f t="shared" si="4"/>
        <v>1.7020726037965557</v>
      </c>
      <c r="E6" s="47" t="s">
        <v>365</v>
      </c>
      <c r="F6" s="71">
        <f t="shared" ref="F6:K6" si="6">SUM(F10:F11)/F14</f>
        <v>1.133096801339613</v>
      </c>
      <c r="G6" s="71">
        <f t="shared" si="6"/>
        <v>1.6543878568894104</v>
      </c>
      <c r="H6" s="71">
        <f t="shared" si="6"/>
        <v>2.0108105822557647</v>
      </c>
      <c r="I6" s="71">
        <f t="shared" si="6"/>
        <v>5.0305419149216792</v>
      </c>
      <c r="J6" s="71">
        <f t="shared" si="6"/>
        <v>1.7497573507037012</v>
      </c>
      <c r="K6" s="71">
        <f t="shared" si="6"/>
        <v>0.40316408259243208</v>
      </c>
    </row>
    <row r="7" spans="1:11" ht="13.8" thickBot="1" x14ac:dyDescent="0.3">
      <c r="A7" s="139">
        <f t="shared" si="1"/>
        <v>0</v>
      </c>
      <c r="B7" s="139">
        <f t="shared" si="2"/>
        <v>3.577531180342687</v>
      </c>
      <c r="C7" s="155">
        <f t="shared" si="3"/>
        <v>1.4203752531061724</v>
      </c>
      <c r="D7" s="156">
        <f t="shared" si="4"/>
        <v>0.53123502836330716</v>
      </c>
      <c r="E7" s="49" t="s">
        <v>366</v>
      </c>
      <c r="F7" s="73">
        <f t="shared" ref="F7:K7" si="7">F11/F14</f>
        <v>0</v>
      </c>
      <c r="G7" s="73">
        <f t="shared" si="7"/>
        <v>0.71374026896503506</v>
      </c>
      <c r="H7" s="73">
        <f t="shared" si="7"/>
        <v>1.0414997753553881</v>
      </c>
      <c r="I7" s="73">
        <f t="shared" si="7"/>
        <v>3.577531180342687</v>
      </c>
      <c r="J7" s="73">
        <f t="shared" si="7"/>
        <v>0</v>
      </c>
      <c r="K7" s="73">
        <f t="shared" si="7"/>
        <v>0.3487297877615792</v>
      </c>
    </row>
    <row r="9" spans="1:11" x14ac:dyDescent="0.25">
      <c r="E9" s="43" t="s">
        <v>289</v>
      </c>
      <c r="F9" s="76">
        <f>F91</f>
        <v>0</v>
      </c>
      <c r="G9" s="76">
        <f t="shared" ref="G9:K12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F92</f>
        <v>782840.83</v>
      </c>
      <c r="G10" s="76">
        <f t="shared" si="8"/>
        <v>573149.18000000005</v>
      </c>
      <c r="H10" s="76">
        <f t="shared" si="8"/>
        <v>542852.96</v>
      </c>
      <c r="I10" s="76">
        <f t="shared" si="8"/>
        <v>485385.53</v>
      </c>
      <c r="J10" s="76">
        <f t="shared" si="8"/>
        <v>432987.78</v>
      </c>
      <c r="K10" s="76">
        <f t="shared" si="8"/>
        <v>26654.87</v>
      </c>
    </row>
    <row r="11" spans="1:11" x14ac:dyDescent="0.25">
      <c r="E11" s="43" t="s">
        <v>287</v>
      </c>
      <c r="F11" s="76">
        <f>F93</f>
        <v>0</v>
      </c>
      <c r="G11" s="76">
        <f t="shared" si="8"/>
        <v>434891.51</v>
      </c>
      <c r="H11" s="76">
        <f t="shared" si="8"/>
        <v>583281.68000000005</v>
      </c>
      <c r="I11" s="76">
        <f t="shared" si="8"/>
        <v>1195092.25</v>
      </c>
      <c r="J11" s="76">
        <f t="shared" si="8"/>
        <v>0</v>
      </c>
      <c r="K11" s="76">
        <f t="shared" si="8"/>
        <v>170762.7</v>
      </c>
    </row>
    <row r="12" spans="1:11" x14ac:dyDescent="0.25">
      <c r="E12" s="43" t="s">
        <v>290</v>
      </c>
      <c r="F12" s="76">
        <f>F94</f>
        <v>0</v>
      </c>
      <c r="G12" s="76">
        <f t="shared" si="8"/>
        <v>4894.54</v>
      </c>
      <c r="H12" s="76">
        <f t="shared" si="8"/>
        <v>2508.37</v>
      </c>
      <c r="I12" s="76">
        <f t="shared" si="8"/>
        <v>1916.47</v>
      </c>
      <c r="J12" s="76">
        <f t="shared" si="8"/>
        <v>0</v>
      </c>
      <c r="K12" s="76">
        <f t="shared" si="8"/>
        <v>518.83000000000004</v>
      </c>
    </row>
    <row r="13" spans="1:11" x14ac:dyDescent="0.25">
      <c r="E13" s="43" t="s">
        <v>310</v>
      </c>
      <c r="F13" s="76">
        <f>F103</f>
        <v>0</v>
      </c>
      <c r="G13" s="76">
        <f t="shared" ref="G13:K13" si="9">G103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x14ac:dyDescent="0.25">
      <c r="E14" s="43" t="s">
        <v>286</v>
      </c>
      <c r="F14" s="76">
        <f>F105</f>
        <v>690886.1</v>
      </c>
      <c r="G14" s="76">
        <f t="shared" ref="G14:K15" si="10">G105</f>
        <v>609313.4</v>
      </c>
      <c r="H14" s="76">
        <f t="shared" si="10"/>
        <v>560040.14</v>
      </c>
      <c r="I14" s="76">
        <f t="shared" si="10"/>
        <v>334055.02</v>
      </c>
      <c r="J14" s="76">
        <f t="shared" si="10"/>
        <v>247455.9</v>
      </c>
      <c r="K14" s="76">
        <f t="shared" si="10"/>
        <v>489670.53</v>
      </c>
    </row>
    <row r="15" spans="1:11" x14ac:dyDescent="0.25">
      <c r="E15" s="43" t="s">
        <v>362</v>
      </c>
      <c r="F15" s="76">
        <f>F106</f>
        <v>0</v>
      </c>
      <c r="G15" s="76">
        <f t="shared" si="10"/>
        <v>0</v>
      </c>
      <c r="H15" s="76">
        <f t="shared" si="10"/>
        <v>471668.2</v>
      </c>
      <c r="I15" s="76">
        <f t="shared" si="10"/>
        <v>1208376.51</v>
      </c>
      <c r="J15" s="76">
        <f t="shared" si="10"/>
        <v>1224934.1100000001</v>
      </c>
      <c r="K15" s="76">
        <f t="shared" si="10"/>
        <v>400000</v>
      </c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1">MIN(F19:K19)</f>
        <v>38.960578245586383</v>
      </c>
      <c r="B19" s="152">
        <f t="shared" ref="B19:B25" si="12">MAX(F19:K19)</f>
        <v>291.59422723832347</v>
      </c>
      <c r="C19" s="156">
        <f>AVERAGE(F19:K19)</f>
        <v>148.55555961155622</v>
      </c>
      <c r="D19" s="156">
        <f>MEDIAN(F19:K19)</f>
        <v>127.96179619353609</v>
      </c>
      <c r="E19" s="47" t="s">
        <v>293</v>
      </c>
      <c r="F19" s="71">
        <f>F28/(F27/365)</f>
        <v>139.89793017363738</v>
      </c>
      <c r="G19" s="71">
        <f t="shared" ref="G19:K19" si="13">G28/(G27/365)</f>
        <v>108.84780029152557</v>
      </c>
      <c r="H19" s="71">
        <f t="shared" si="13"/>
        <v>291.59422723832347</v>
      </c>
      <c r="I19" s="71">
        <f t="shared" si="13"/>
        <v>196.00715950682979</v>
      </c>
      <c r="J19" s="71">
        <f t="shared" si="13"/>
        <v>116.0256622134348</v>
      </c>
      <c r="K19" s="71">
        <f t="shared" si="13"/>
        <v>38.960578245586383</v>
      </c>
    </row>
    <row r="20" spans="1:11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x14ac:dyDescent="0.25">
      <c r="A21" s="152">
        <f t="shared" si="11"/>
        <v>66.309572676904409</v>
      </c>
      <c r="B21" s="152">
        <f t="shared" si="12"/>
        <v>715.73588611097159</v>
      </c>
      <c r="C21" s="156">
        <f t="shared" si="14"/>
        <v>242.8249982623332</v>
      </c>
      <c r="D21" s="156">
        <f t="shared" si="15"/>
        <v>129.18118642656077</v>
      </c>
      <c r="E21" s="47" t="s">
        <v>368</v>
      </c>
      <c r="F21" s="71">
        <f>F30/(F27/365)</f>
        <v>123.46511790364416</v>
      </c>
      <c r="G21" s="71">
        <f t="shared" ref="G21:K21" si="17">G30/(G27/365)</f>
        <v>115.71581290258574</v>
      </c>
      <c r="H21" s="71">
        <f t="shared" si="17"/>
        <v>300.82634503041578</v>
      </c>
      <c r="I21" s="71">
        <f t="shared" si="17"/>
        <v>134.8972549494774</v>
      </c>
      <c r="J21" s="71">
        <f t="shared" si="17"/>
        <v>66.309572676904409</v>
      </c>
      <c r="K21" s="71">
        <f t="shared" si="17"/>
        <v>715.73588611097159</v>
      </c>
    </row>
    <row r="22" spans="1:11" x14ac:dyDescent="0.25">
      <c r="A22" s="152">
        <f t="shared" si="11"/>
        <v>-676.77530786538523</v>
      </c>
      <c r="B22" s="152">
        <f t="shared" si="12"/>
        <v>61.109904557352394</v>
      </c>
      <c r="C22" s="156">
        <f t="shared" si="14"/>
        <v>-94.269438650776962</v>
      </c>
      <c r="D22" s="156">
        <f t="shared" si="15"/>
        <v>4.7823998294665273</v>
      </c>
      <c r="E22" s="47" t="s">
        <v>294</v>
      </c>
      <c r="F22" s="71">
        <f>F19+F20-F21</f>
        <v>16.432812269993221</v>
      </c>
      <c r="G22" s="71">
        <f t="shared" ref="G22:K22" si="18">G19+G20-G21</f>
        <v>-6.8680126110601663</v>
      </c>
      <c r="H22" s="71">
        <f t="shared" si="18"/>
        <v>-9.2321177920923105</v>
      </c>
      <c r="I22" s="71">
        <f t="shared" si="18"/>
        <v>61.109904557352394</v>
      </c>
      <c r="J22" s="71">
        <f t="shared" si="18"/>
        <v>49.71608953653039</v>
      </c>
      <c r="K22" s="71">
        <f t="shared" si="18"/>
        <v>-676.77530786538523</v>
      </c>
    </row>
    <row r="23" spans="1:11" x14ac:dyDescent="0.25">
      <c r="A23" s="152">
        <f t="shared" si="11"/>
        <v>0.20077850273377068</v>
      </c>
      <c r="B23" s="152">
        <f t="shared" si="12"/>
        <v>0.63612903707249913</v>
      </c>
      <c r="C23" s="156">
        <f t="shared" si="14"/>
        <v>0.42823322732631192</v>
      </c>
      <c r="D23" s="156">
        <f t="shared" si="15"/>
        <v>0.44021319985150631</v>
      </c>
      <c r="E23" s="47" t="s">
        <v>295</v>
      </c>
      <c r="F23" s="71">
        <f>F27/F31</f>
        <v>0.63612903707249913</v>
      </c>
      <c r="G23" s="71">
        <f t="shared" ref="G23:K23" si="19">G27/G31</f>
        <v>0.62467683297345933</v>
      </c>
      <c r="H23" s="71">
        <f t="shared" si="19"/>
        <v>0.20077850273377068</v>
      </c>
      <c r="I23" s="71">
        <f t="shared" si="19"/>
        <v>0.2273885914751301</v>
      </c>
      <c r="J23" s="71">
        <f t="shared" si="19"/>
        <v>0.61002474785706706</v>
      </c>
      <c r="K23" s="71">
        <f t="shared" si="19"/>
        <v>0.2704016518459455</v>
      </c>
    </row>
    <row r="24" spans="1:11" x14ac:dyDescent="0.25">
      <c r="A24" s="152">
        <f t="shared" si="11"/>
        <v>0.30123675398836636</v>
      </c>
      <c r="B24" s="152">
        <f t="shared" si="12"/>
        <v>1.0614937672210008</v>
      </c>
      <c r="C24" s="156">
        <f t="shared" si="14"/>
        <v>0.65775343209482673</v>
      </c>
      <c r="D24" s="156">
        <f t="shared" si="15"/>
        <v>0.65417078082736624</v>
      </c>
      <c r="E24" s="121" t="s">
        <v>369</v>
      </c>
      <c r="F24" s="71">
        <f>F27/F32</f>
        <v>1.0614937672210008</v>
      </c>
      <c r="G24" s="71">
        <f t="shared" ref="G24:K24" si="20">G27/G32</f>
        <v>0.93127982385919583</v>
      </c>
      <c r="H24" s="71">
        <f t="shared" si="20"/>
        <v>0.30123675398836636</v>
      </c>
      <c r="I24" s="71">
        <f t="shared" si="20"/>
        <v>0.39425299032950717</v>
      </c>
      <c r="J24" s="71">
        <f t="shared" si="20"/>
        <v>0.91408857132522536</v>
      </c>
      <c r="K24" s="71">
        <f t="shared" si="20"/>
        <v>0.34416868584566501</v>
      </c>
    </row>
    <row r="25" spans="1:11" ht="13.8" thickBot="1" x14ac:dyDescent="0.3">
      <c r="A25" s="152">
        <f t="shared" si="11"/>
        <v>0.53725439801045438</v>
      </c>
      <c r="B25" s="152">
        <f t="shared" si="12"/>
        <v>1.8974013570443196</v>
      </c>
      <c r="C25" s="156">
        <f t="shared" si="14"/>
        <v>1.2866067131687673</v>
      </c>
      <c r="D25" s="156">
        <f t="shared" si="15"/>
        <v>1.4245222720099051</v>
      </c>
      <c r="E25" s="49" t="s">
        <v>296</v>
      </c>
      <c r="F25" s="73">
        <f>F27/F33</f>
        <v>1.5874541543795015</v>
      </c>
      <c r="G25" s="73">
        <f t="shared" ref="G25:K25" si="21">G27/G33</f>
        <v>1.8974013570443196</v>
      </c>
      <c r="H25" s="73">
        <f t="shared" si="21"/>
        <v>0.6020596982211408</v>
      </c>
      <c r="I25" s="73">
        <f t="shared" si="21"/>
        <v>0.53725439801045438</v>
      </c>
      <c r="J25" s="73">
        <f t="shared" si="21"/>
        <v>1.8338802817168782</v>
      </c>
      <c r="K25" s="73">
        <f t="shared" si="21"/>
        <v>1.2615903896403087</v>
      </c>
    </row>
    <row r="26" spans="1:11" x14ac:dyDescent="0.25">
      <c r="C26" s="155"/>
      <c r="D26" s="156"/>
    </row>
    <row r="27" spans="1:11" x14ac:dyDescent="0.25">
      <c r="E27" s="43" t="s">
        <v>304</v>
      </c>
      <c r="F27" s="76">
        <f>F108</f>
        <v>2042466.98</v>
      </c>
      <c r="G27" s="76">
        <f t="shared" ref="G27:K27" si="22">G108</f>
        <v>1921944.68</v>
      </c>
      <c r="H27" s="76">
        <f t="shared" si="22"/>
        <v>679510.47</v>
      </c>
      <c r="I27" s="76">
        <f t="shared" si="22"/>
        <v>903873.71</v>
      </c>
      <c r="J27" s="76">
        <f t="shared" si="22"/>
        <v>1362117.11</v>
      </c>
      <c r="K27" s="76">
        <f t="shared" si="22"/>
        <v>249714.66</v>
      </c>
    </row>
    <row r="28" spans="1:11" x14ac:dyDescent="0.25">
      <c r="E28" s="43" t="s">
        <v>305</v>
      </c>
      <c r="F28" s="76">
        <f>F92</f>
        <v>782840.83</v>
      </c>
      <c r="G28" s="76">
        <f t="shared" ref="G28:K28" si="23">G92</f>
        <v>573149.18000000005</v>
      </c>
      <c r="H28" s="76">
        <f t="shared" si="23"/>
        <v>542852.96</v>
      </c>
      <c r="I28" s="76">
        <f t="shared" si="23"/>
        <v>485385.53</v>
      </c>
      <c r="J28" s="76">
        <f t="shared" si="23"/>
        <v>432987.78</v>
      </c>
      <c r="K28" s="76">
        <f t="shared" si="23"/>
        <v>26654.87</v>
      </c>
    </row>
    <row r="29" spans="1:11" x14ac:dyDescent="0.25">
      <c r="E29" s="43" t="s">
        <v>306</v>
      </c>
      <c r="F29" s="76">
        <f>F91</f>
        <v>0</v>
      </c>
      <c r="G29" s="76">
        <f t="shared" ref="G29:K29" si="24">G91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x14ac:dyDescent="0.25">
      <c r="E30" s="43" t="s">
        <v>307</v>
      </c>
      <c r="F30" s="76">
        <f>F105</f>
        <v>690886.1</v>
      </c>
      <c r="G30" s="76">
        <f t="shared" ref="G30:K30" si="25">G105</f>
        <v>609313.4</v>
      </c>
      <c r="H30" s="76">
        <f t="shared" si="25"/>
        <v>560040.14</v>
      </c>
      <c r="I30" s="76">
        <f t="shared" si="25"/>
        <v>334055.02</v>
      </c>
      <c r="J30" s="76">
        <f t="shared" si="25"/>
        <v>247455.9</v>
      </c>
      <c r="K30" s="76">
        <f t="shared" si="25"/>
        <v>489670.53</v>
      </c>
    </row>
    <row r="31" spans="1:11" x14ac:dyDescent="0.25">
      <c r="E31" s="43" t="s">
        <v>303</v>
      </c>
      <c r="F31" s="76">
        <f>F96</f>
        <v>3210774.64</v>
      </c>
      <c r="G31" s="76">
        <f t="shared" ref="G31:K31" si="26">G96</f>
        <v>3076702.35</v>
      </c>
      <c r="H31" s="76">
        <f t="shared" si="26"/>
        <v>3384378.61</v>
      </c>
      <c r="I31" s="76">
        <f t="shared" si="26"/>
        <v>3975017.85</v>
      </c>
      <c r="J31" s="76">
        <f t="shared" si="26"/>
        <v>2232888.2799999998</v>
      </c>
      <c r="K31" s="76">
        <f t="shared" si="26"/>
        <v>923495.32</v>
      </c>
    </row>
    <row r="32" spans="1:11" x14ac:dyDescent="0.25">
      <c r="E32" s="43" t="s">
        <v>308</v>
      </c>
      <c r="F32" s="76">
        <f>F84</f>
        <v>1924144.11</v>
      </c>
      <c r="G32" s="76">
        <f t="shared" ref="G32:K32" si="27">G84</f>
        <v>2063767.12</v>
      </c>
      <c r="H32" s="76">
        <f t="shared" si="27"/>
        <v>2255735.6</v>
      </c>
      <c r="I32" s="76">
        <f t="shared" si="27"/>
        <v>2292623.6</v>
      </c>
      <c r="J32" s="76">
        <f t="shared" si="27"/>
        <v>1490136.9</v>
      </c>
      <c r="K32" s="76">
        <f t="shared" si="27"/>
        <v>725558.92</v>
      </c>
    </row>
    <row r="33" spans="1:11" x14ac:dyDescent="0.25">
      <c r="E33" s="43" t="s">
        <v>309</v>
      </c>
      <c r="F33" s="76">
        <f>F90</f>
        <v>1286630.53</v>
      </c>
      <c r="G33" s="76">
        <f t="shared" ref="G33:K33" si="28">G90</f>
        <v>1012935.23</v>
      </c>
      <c r="H33" s="76">
        <f t="shared" si="28"/>
        <v>1128643.01</v>
      </c>
      <c r="I33" s="76">
        <f t="shared" si="28"/>
        <v>1682394.25</v>
      </c>
      <c r="J33" s="76">
        <f t="shared" si="28"/>
        <v>742751.38</v>
      </c>
      <c r="K33" s="76">
        <f t="shared" si="28"/>
        <v>197936.4</v>
      </c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29">MIN(F37:K37)</f>
        <v>0.11082323384311911</v>
      </c>
      <c r="B37" s="139">
        <f t="shared" ref="B37:B41" si="30">MAX(F37:K37)</f>
        <v>0.53023607093103631</v>
      </c>
      <c r="C37" s="160">
        <f t="shared" ref="C37:C41" si="31">AVERAGE(F37:K37)</f>
        <v>0.22787489585019452</v>
      </c>
      <c r="D37" s="160">
        <f t="shared" ref="D37:D41" si="32">MEDIAN(F37:K37)</f>
        <v>0.18175952146166602</v>
      </c>
      <c r="E37" s="126" t="s">
        <v>370</v>
      </c>
      <c r="F37" s="131">
        <f>F43/F44*100%</f>
        <v>0.21517738784681567</v>
      </c>
      <c r="G37" s="124">
        <f t="shared" ref="G37:K37" si="33">G43/G44*100%</f>
        <v>0.19804106172311403</v>
      </c>
      <c r="H37" s="124">
        <f t="shared" si="33"/>
        <v>0.16547798120021803</v>
      </c>
      <c r="I37" s="124">
        <f t="shared" si="33"/>
        <v>0.14749363955686387</v>
      </c>
      <c r="J37" s="124">
        <f t="shared" si="33"/>
        <v>0.11082323384311911</v>
      </c>
      <c r="K37" s="132">
        <f t="shared" si="33"/>
        <v>0.53023607093103631</v>
      </c>
    </row>
    <row r="38" spans="1:11" x14ac:dyDescent="0.25">
      <c r="A38" s="139">
        <f t="shared" si="29"/>
        <v>0.23804446680919719</v>
      </c>
      <c r="B38" s="139">
        <f t="shared" si="30"/>
        <v>14.476676130140055</v>
      </c>
      <c r="C38" s="155">
        <f t="shared" si="31"/>
        <v>2.6661761982567325</v>
      </c>
      <c r="D38" s="156">
        <f t="shared" si="32"/>
        <v>0.27153511018574539</v>
      </c>
      <c r="E38" s="127" t="s">
        <v>298</v>
      </c>
      <c r="F38" s="133">
        <f>F43/F45</f>
        <v>0.2741732775212351</v>
      </c>
      <c r="G38" s="122">
        <f t="shared" ref="G38:K38" si="34">G43/G45</f>
        <v>0.24694663563278096</v>
      </c>
      <c r="H38" s="122">
        <f t="shared" si="34"/>
        <v>0.23804446680919719</v>
      </c>
      <c r="I38" s="122">
        <f t="shared" si="34"/>
        <v>0.26889694285025573</v>
      </c>
      <c r="J38" s="122">
        <f t="shared" si="34"/>
        <v>0.49231973658687012</v>
      </c>
      <c r="K38" s="134">
        <f t="shared" si="34"/>
        <v>14.476676130140055</v>
      </c>
    </row>
    <row r="39" spans="1:11" x14ac:dyDescent="0.25">
      <c r="A39" s="139">
        <f t="shared" si="29"/>
        <v>1.246946635632781</v>
      </c>
      <c r="B39" s="139">
        <f t="shared" si="30"/>
        <v>27.302322349968762</v>
      </c>
      <c r="C39" s="155">
        <f t="shared" si="31"/>
        <v>6.2545774873911855</v>
      </c>
      <c r="D39" s="156">
        <f t="shared" si="32"/>
        <v>1.6308176354173711</v>
      </c>
      <c r="E39" s="127" t="s">
        <v>299</v>
      </c>
      <c r="F39" s="133">
        <f>F44/F45</f>
        <v>1.2741732775212351</v>
      </c>
      <c r="G39" s="122">
        <f t="shared" ref="G39:K39" si="35">G44/G45</f>
        <v>1.246946635632781</v>
      </c>
      <c r="H39" s="122">
        <f t="shared" si="35"/>
        <v>1.4385265343621654</v>
      </c>
      <c r="I39" s="122">
        <f t="shared" si="35"/>
        <v>1.8231087364725767</v>
      </c>
      <c r="J39" s="122">
        <f t="shared" si="35"/>
        <v>4.4423873903895981</v>
      </c>
      <c r="K39" s="134">
        <f t="shared" si="35"/>
        <v>27.302322349968762</v>
      </c>
    </row>
    <row r="40" spans="1:11" x14ac:dyDescent="0.25">
      <c r="A40" s="139">
        <f t="shared" si="29"/>
        <v>0</v>
      </c>
      <c r="B40" s="139">
        <f t="shared" si="30"/>
        <v>6.3455018195704455E-2</v>
      </c>
      <c r="C40" s="160">
        <f t="shared" si="31"/>
        <v>1.0575836365950742E-2</v>
      </c>
      <c r="D40" s="160">
        <f t="shared" si="32"/>
        <v>0</v>
      </c>
      <c r="E40" s="128" t="s">
        <v>371</v>
      </c>
      <c r="F40" s="131">
        <f>F46/F44*100%</f>
        <v>0</v>
      </c>
      <c r="G40" s="124">
        <f t="shared" ref="G40:K40" si="36">G46/G44*100%</f>
        <v>0</v>
      </c>
      <c r="H40" s="124">
        <f t="shared" si="36"/>
        <v>0</v>
      </c>
      <c r="I40" s="124">
        <f t="shared" si="36"/>
        <v>6.3455018195704455E-2</v>
      </c>
      <c r="J40" s="124">
        <f t="shared" si="36"/>
        <v>0</v>
      </c>
      <c r="K40" s="132">
        <f t="shared" si="36"/>
        <v>0</v>
      </c>
    </row>
    <row r="41" spans="1:11" ht="13.8" thickBot="1" x14ac:dyDescent="0.3">
      <c r="A41" s="139">
        <f t="shared" si="29"/>
        <v>-404.43653240285914</v>
      </c>
      <c r="B41" s="139">
        <f t="shared" si="30"/>
        <v>10289.670852017936</v>
      </c>
      <c r="C41" s="155">
        <f t="shared" si="31"/>
        <v>2384.8415876154945</v>
      </c>
      <c r="D41" s="156">
        <f t="shared" si="32"/>
        <v>79.743044967747906</v>
      </c>
      <c r="E41" s="129" t="s">
        <v>300</v>
      </c>
      <c r="F41" s="135">
        <f>(F47+F48)/F48</f>
        <v>8.0406685602860275</v>
      </c>
      <c r="G41" s="123">
        <f t="shared" ref="G41:K41" si="37">(G47+G48)/G48</f>
        <v>10289.670852017936</v>
      </c>
      <c r="H41" s="123">
        <f t="shared" si="37"/>
        <v>1951.1899049343592</v>
      </c>
      <c r="I41" s="171"/>
      <c r="J41" s="123">
        <f t="shared" si="37"/>
        <v>79.743044967747906</v>
      </c>
      <c r="K41" s="136">
        <f t="shared" si="37"/>
        <v>-404.43653240285914</v>
      </c>
    </row>
    <row r="43" spans="1:11" x14ac:dyDescent="0.25">
      <c r="E43" s="43" t="s">
        <v>318</v>
      </c>
      <c r="F43" s="76">
        <f>F104+F105</f>
        <v>690886.1</v>
      </c>
      <c r="G43" s="76">
        <f t="shared" ref="G43:K43" si="38">G104+G105</f>
        <v>609313.4</v>
      </c>
      <c r="H43" s="76">
        <f t="shared" si="38"/>
        <v>560040.14</v>
      </c>
      <c r="I43" s="76">
        <f t="shared" si="38"/>
        <v>586289.85</v>
      </c>
      <c r="J43" s="76">
        <f t="shared" si="38"/>
        <v>247455.9</v>
      </c>
      <c r="K43" s="76">
        <f t="shared" si="38"/>
        <v>489670.53</v>
      </c>
    </row>
    <row r="44" spans="1:11" x14ac:dyDescent="0.25">
      <c r="E44" s="43" t="s">
        <v>303</v>
      </c>
      <c r="F44" s="76">
        <f>F96</f>
        <v>3210774.64</v>
      </c>
      <c r="G44" s="76">
        <f t="shared" ref="G44:K45" si="39">G96</f>
        <v>3076702.35</v>
      </c>
      <c r="H44" s="76">
        <f t="shared" si="39"/>
        <v>3384378.61</v>
      </c>
      <c r="I44" s="76">
        <f t="shared" si="39"/>
        <v>3975017.85</v>
      </c>
      <c r="J44" s="76">
        <f t="shared" si="39"/>
        <v>2232888.2799999998</v>
      </c>
      <c r="K44" s="76">
        <f t="shared" si="39"/>
        <v>923495.32</v>
      </c>
    </row>
    <row r="45" spans="1:11" x14ac:dyDescent="0.25">
      <c r="E45" s="43" t="s">
        <v>311</v>
      </c>
      <c r="F45" s="76">
        <f>F97</f>
        <v>2519888.54</v>
      </c>
      <c r="G45" s="76">
        <f t="shared" si="39"/>
        <v>2467388.9500000002</v>
      </c>
      <c r="H45" s="76">
        <f t="shared" si="39"/>
        <v>2352670.27</v>
      </c>
      <c r="I45" s="76">
        <f t="shared" si="39"/>
        <v>2180351.4900000002</v>
      </c>
      <c r="J45" s="76">
        <f t="shared" si="39"/>
        <v>502632.5</v>
      </c>
      <c r="K45" s="76">
        <f t="shared" si="39"/>
        <v>33824.79</v>
      </c>
    </row>
    <row r="46" spans="1:11" x14ac:dyDescent="0.25">
      <c r="E46" s="43" t="s">
        <v>312</v>
      </c>
      <c r="F46" s="76">
        <f>F104</f>
        <v>0</v>
      </c>
      <c r="G46" s="76">
        <f t="shared" ref="G46:K46" si="40">G104</f>
        <v>0</v>
      </c>
      <c r="H46" s="76">
        <f t="shared" si="40"/>
        <v>0</v>
      </c>
      <c r="I46" s="76">
        <f t="shared" si="40"/>
        <v>252234.83</v>
      </c>
      <c r="J46" s="76">
        <f t="shared" si="40"/>
        <v>0</v>
      </c>
      <c r="K46" s="76">
        <f t="shared" si="40"/>
        <v>0</v>
      </c>
    </row>
    <row r="47" spans="1:11" x14ac:dyDescent="0.25">
      <c r="E47" s="43" t="s">
        <v>313</v>
      </c>
      <c r="F47" s="76">
        <f>F117</f>
        <v>52499.59</v>
      </c>
      <c r="G47" s="76">
        <f t="shared" ref="G47:K47" si="41">G117</f>
        <v>114718.68</v>
      </c>
      <c r="H47" s="76">
        <f t="shared" si="41"/>
        <v>172318.78</v>
      </c>
      <c r="I47" s="76">
        <f t="shared" si="41"/>
        <v>1677718.99</v>
      </c>
      <c r="J47" s="76">
        <f t="shared" si="41"/>
        <v>510270.68</v>
      </c>
      <c r="K47" s="76">
        <f t="shared" si="41"/>
        <v>-119680.81</v>
      </c>
    </row>
    <row r="48" spans="1:11" x14ac:dyDescent="0.25">
      <c r="E48" s="43" t="s">
        <v>314</v>
      </c>
      <c r="F48" s="76">
        <f>F116</f>
        <v>7456.62</v>
      </c>
      <c r="G48" s="76">
        <f t="shared" ref="G48:K48" si="42">G116</f>
        <v>11.15</v>
      </c>
      <c r="H48" s="76">
        <f t="shared" si="42"/>
        <v>88.36</v>
      </c>
      <c r="I48" s="76">
        <f t="shared" si="42"/>
        <v>0</v>
      </c>
      <c r="J48" s="76">
        <f t="shared" si="42"/>
        <v>6480.2</v>
      </c>
      <c r="K48" s="76">
        <f t="shared" si="42"/>
        <v>295.19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3">MIN(F52:K52)</f>
        <v>-0.25168557126494906</v>
      </c>
      <c r="B52" s="139">
        <f t="shared" ref="B52:B63" si="44">MAX(F52:K52)</f>
        <v>0.59643640798882847</v>
      </c>
      <c r="C52" s="160">
        <f t="shared" ref="C52:C63" si="45">AVERAGE(F52:K52)</f>
        <v>0.1474087321798174</v>
      </c>
      <c r="D52" s="160">
        <f t="shared" ref="D52:D63" si="46">MEDIAN(F52:K52)</f>
        <v>9.9674700217834464E-2</v>
      </c>
      <c r="E52" s="127" t="s">
        <v>350</v>
      </c>
      <c r="F52" s="131">
        <f t="shared" ref="F52:K52" si="47">(F65/(F70+F71))*100%</f>
        <v>1.579764680666541E-2</v>
      </c>
      <c r="G52" s="124">
        <f t="shared" si="47"/>
        <v>4.4485607498566421E-2</v>
      </c>
      <c r="H52" s="124">
        <f t="shared" si="47"/>
        <v>0.15486379293710251</v>
      </c>
      <c r="I52" s="124">
        <f t="shared" si="47"/>
        <v>0.59643640798882847</v>
      </c>
      <c r="J52" s="124">
        <f t="shared" si="47"/>
        <v>0.32455450911269068</v>
      </c>
      <c r="K52" s="132">
        <f t="shared" si="47"/>
        <v>-0.25168557126494906</v>
      </c>
    </row>
    <row r="53" spans="1:11" x14ac:dyDescent="0.25">
      <c r="A53" s="139">
        <f t="shared" si="43"/>
        <v>-1.387021130437436</v>
      </c>
      <c r="B53" s="139">
        <f t="shared" si="44"/>
        <v>0.23978556439981874</v>
      </c>
      <c r="C53" s="160">
        <f t="shared" si="45"/>
        <v>-0.40536749735579719</v>
      </c>
      <c r="D53" s="160">
        <f t="shared" si="46"/>
        <v>-0.32305440591894319</v>
      </c>
      <c r="E53" s="127" t="s">
        <v>351</v>
      </c>
      <c r="F53" s="131">
        <f>(F66/F70)*100%</f>
        <v>-0.36417730483946431</v>
      </c>
      <c r="G53" s="124">
        <f t="shared" ref="G53:K53" si="48">(G66/G70)*100%</f>
        <v>-0.28193150699842207</v>
      </c>
      <c r="H53" s="124">
        <f t="shared" si="48"/>
        <v>-0.38295540906087877</v>
      </c>
      <c r="I53" s="124">
        <f t="shared" si="48"/>
        <v>-0.25590519719840066</v>
      </c>
      <c r="J53" s="124">
        <f t="shared" si="48"/>
        <v>0.23978556439981874</v>
      </c>
      <c r="K53" s="132">
        <f t="shared" si="48"/>
        <v>-1.387021130437436</v>
      </c>
    </row>
    <row r="54" spans="1:11" x14ac:dyDescent="0.25">
      <c r="A54" s="139">
        <f t="shared" si="43"/>
        <v>0</v>
      </c>
      <c r="B54" s="139">
        <f t="shared" si="44"/>
        <v>0</v>
      </c>
      <c r="C54" s="160" t="e">
        <f t="shared" si="45"/>
        <v>#DIV/0!</v>
      </c>
      <c r="D54" s="160" t="e">
        <f t="shared" si="46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3"/>
        <v>0</v>
      </c>
      <c r="B55" s="139">
        <f t="shared" si="44"/>
        <v>0</v>
      </c>
      <c r="C55" s="160" t="e">
        <f t="shared" si="45"/>
        <v>#DIV/0!</v>
      </c>
      <c r="D55" s="160" t="e">
        <f t="shared" si="46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3"/>
        <v>0</v>
      </c>
      <c r="B56" s="139">
        <f t="shared" si="44"/>
        <v>0</v>
      </c>
      <c r="C56" s="160" t="e">
        <f t="shared" si="45"/>
        <v>#DIV/0!</v>
      </c>
      <c r="D56" s="160" t="e">
        <f t="shared" si="46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3"/>
        <v>0</v>
      </c>
      <c r="B57" s="139">
        <f t="shared" si="44"/>
        <v>0</v>
      </c>
      <c r="C57" s="160" t="e">
        <f t="shared" si="45"/>
        <v>#DIV/0!</v>
      </c>
      <c r="D57" s="160" t="e">
        <f t="shared" si="46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3"/>
        <v>-0.2510663218835586</v>
      </c>
      <c r="B58" s="139">
        <f t="shared" si="44"/>
        <v>0.59643640798882847</v>
      </c>
      <c r="C58" s="155">
        <f t="shared" si="45"/>
        <v>0.14865755664873501</v>
      </c>
      <c r="D58" s="156">
        <f t="shared" si="46"/>
        <v>9.9716587469384138E-2</v>
      </c>
      <c r="E58" s="127" t="s">
        <v>356</v>
      </c>
      <c r="F58" s="133">
        <f>F68/(F70+F71+F72+F73+F74+F75)</f>
        <v>1.8412861769877595E-2</v>
      </c>
      <c r="G58" s="122">
        <f t="shared" ref="G58:K58" si="49">G68/(G70+G71+G72+G73+G74)</f>
        <v>4.4489931665633822E-2</v>
      </c>
      <c r="H58" s="122">
        <f t="shared" si="49"/>
        <v>0.15494324327313444</v>
      </c>
      <c r="I58" s="122">
        <f t="shared" si="49"/>
        <v>0.59643640798882847</v>
      </c>
      <c r="J58" s="122">
        <f t="shared" si="49"/>
        <v>0.32872921707849434</v>
      </c>
      <c r="K58" s="134">
        <f t="shared" si="49"/>
        <v>-0.2510663218835586</v>
      </c>
    </row>
    <row r="59" spans="1:11" x14ac:dyDescent="0.25">
      <c r="A59" s="139">
        <f t="shared" si="43"/>
        <v>-0.2510663218835586</v>
      </c>
      <c r="B59" s="139">
        <f t="shared" si="44"/>
        <v>0.59643640798882847</v>
      </c>
      <c r="C59" s="155">
        <f t="shared" si="45"/>
        <v>0.14865755664873501</v>
      </c>
      <c r="D59" s="156">
        <f t="shared" si="46"/>
        <v>9.9716587469384138E-2</v>
      </c>
      <c r="E59" s="127" t="s">
        <v>361</v>
      </c>
      <c r="F59" s="133">
        <f>F69/(F70+F71+F72+F73+F74+F75)</f>
        <v>1.8412861769877595E-2</v>
      </c>
      <c r="G59" s="122">
        <f t="shared" ref="G59:K59" si="50">G69/(G70+G71+G72+G73+G74+G75)</f>
        <v>4.4489931665633822E-2</v>
      </c>
      <c r="H59" s="122">
        <f t="shared" si="50"/>
        <v>0.15494324327313444</v>
      </c>
      <c r="I59" s="122">
        <f t="shared" si="50"/>
        <v>0.59643640798882847</v>
      </c>
      <c r="J59" s="122">
        <f t="shared" si="50"/>
        <v>0.32872921707849434</v>
      </c>
      <c r="K59" s="134">
        <f t="shared" si="50"/>
        <v>-0.2510663218835586</v>
      </c>
    </row>
    <row r="60" spans="1:11" ht="26.4" x14ac:dyDescent="0.25">
      <c r="A60" s="139">
        <f t="shared" si="43"/>
        <v>-0.12991511424226818</v>
      </c>
      <c r="B60" s="139">
        <f t="shared" si="44"/>
        <v>0.42206577512601606</v>
      </c>
      <c r="C60" s="160">
        <f t="shared" si="45"/>
        <v>0.10332909734340999</v>
      </c>
      <c r="D60" s="160">
        <f t="shared" si="46"/>
        <v>4.4086221137622089E-2</v>
      </c>
      <c r="E60" s="127" t="s">
        <v>372</v>
      </c>
      <c r="F60" s="131">
        <f>F65/F79*100%</f>
        <v>1.4028692465317339E-2</v>
      </c>
      <c r="G60" s="124">
        <f t="shared" ref="G60:K60" si="51">G65/G79*100%</f>
        <v>3.7282621765475622E-2</v>
      </c>
      <c r="H60" s="124">
        <f t="shared" si="51"/>
        <v>5.0889820509768563E-2</v>
      </c>
      <c r="I60" s="124">
        <f t="shared" si="51"/>
        <v>0.42206577512601606</v>
      </c>
      <c r="J60" s="124">
        <f t="shared" si="51"/>
        <v>0.22562278843615052</v>
      </c>
      <c r="K60" s="132">
        <f t="shared" si="51"/>
        <v>-0.12991511424226818</v>
      </c>
    </row>
    <row r="61" spans="1:11" x14ac:dyDescent="0.25">
      <c r="A61" s="139">
        <f t="shared" si="43"/>
        <v>-0.129595469958635</v>
      </c>
      <c r="B61" s="139">
        <f t="shared" si="44"/>
        <v>0.42206577512601606</v>
      </c>
      <c r="C61" s="155">
        <f t="shared" si="45"/>
        <v>0.10425808251856121</v>
      </c>
      <c r="D61" s="156">
        <f t="shared" si="46"/>
        <v>4.4101087237640765E-2</v>
      </c>
      <c r="E61" s="127" t="s">
        <v>373</v>
      </c>
      <c r="F61" s="133">
        <f>F69/F79</f>
        <v>1.6351066607402879E-2</v>
      </c>
      <c r="G61" s="122">
        <f t="shared" ref="G61:K61" si="52">G69/G79</f>
        <v>3.7286245775448507E-2</v>
      </c>
      <c r="H61" s="122">
        <f t="shared" si="52"/>
        <v>5.0915928699833024E-2</v>
      </c>
      <c r="I61" s="122">
        <f t="shared" si="52"/>
        <v>0.42206577512601606</v>
      </c>
      <c r="J61" s="122">
        <f t="shared" si="52"/>
        <v>0.22852494886130176</v>
      </c>
      <c r="K61" s="134">
        <f t="shared" si="52"/>
        <v>-0.129595469958635</v>
      </c>
    </row>
    <row r="62" spans="1:11" x14ac:dyDescent="0.25">
      <c r="A62" s="139">
        <f t="shared" si="43"/>
        <v>-10.239812575333062</v>
      </c>
      <c r="B62" s="139">
        <f t="shared" si="44"/>
        <v>0.64981078621060118</v>
      </c>
      <c r="C62" s="155">
        <f t="shared" si="45"/>
        <v>-1.6675781302319346</v>
      </c>
      <c r="D62" s="156">
        <f t="shared" si="46"/>
        <v>-0.10834686491559765</v>
      </c>
      <c r="E62" s="127" t="s">
        <v>374</v>
      </c>
      <c r="F62" s="133">
        <f>F69/F80</f>
        <v>2.0834092130122547E-2</v>
      </c>
      <c r="G62" s="122">
        <f>G66/G80</f>
        <v>-0.21960735456807487</v>
      </c>
      <c r="H62" s="122">
        <f>H66/H80</f>
        <v>-0.11060717403463427</v>
      </c>
      <c r="I62" s="122">
        <f>I66/I80</f>
        <v>-0.10608655579656104</v>
      </c>
      <c r="J62" s="122">
        <f>J66/J80</f>
        <v>0.64981078621060118</v>
      </c>
      <c r="K62" s="134">
        <f>K66/K80</f>
        <v>-10.239812575333062</v>
      </c>
    </row>
    <row r="63" spans="1:11" ht="13.8" thickBot="1" x14ac:dyDescent="0.3">
      <c r="A63" s="139">
        <f t="shared" si="43"/>
        <v>-3.5469843271754238</v>
      </c>
      <c r="B63" s="139">
        <f t="shared" si="44"/>
        <v>1.0023038303332952</v>
      </c>
      <c r="C63" s="155">
        <f t="shared" si="45"/>
        <v>-0.28623740493763783</v>
      </c>
      <c r="D63" s="156">
        <f t="shared" si="46"/>
        <v>5.9847898455129667E-2</v>
      </c>
      <c r="E63" s="129" t="s">
        <v>302</v>
      </c>
      <c r="F63" s="135">
        <f t="shared" ref="F63:K63" si="53">F65/(F80+F81)</f>
        <v>1.787498505787085E-2</v>
      </c>
      <c r="G63" s="123">
        <f t="shared" si="53"/>
        <v>4.6489439778029315E-2</v>
      </c>
      <c r="H63" s="123">
        <f t="shared" si="53"/>
        <v>7.3206357132230018E-2</v>
      </c>
      <c r="I63" s="123">
        <f t="shared" si="53"/>
        <v>0.68968528524817152</v>
      </c>
      <c r="J63" s="123">
        <f t="shared" si="53"/>
        <v>1.0023038303332952</v>
      </c>
      <c r="K63" s="136">
        <f t="shared" si="53"/>
        <v>-3.5469843271754238</v>
      </c>
    </row>
    <row r="65" spans="5:12" x14ac:dyDescent="0.25">
      <c r="E65" s="52" t="s">
        <v>360</v>
      </c>
      <c r="F65" s="76">
        <f>F117+F115-F116</f>
        <v>45042.969999999994</v>
      </c>
      <c r="G65" s="76">
        <f t="shared" ref="G65:K65" si="54">G117+G115-G116</f>
        <v>114707.53</v>
      </c>
      <c r="H65" s="76">
        <f t="shared" si="54"/>
        <v>172230.42</v>
      </c>
      <c r="I65" s="76">
        <f t="shared" si="54"/>
        <v>1677718.99</v>
      </c>
      <c r="J65" s="76">
        <f t="shared" si="54"/>
        <v>503790.48</v>
      </c>
      <c r="K65" s="76">
        <f t="shared" si="54"/>
        <v>-119976</v>
      </c>
      <c r="L65" s="43" t="s">
        <v>383</v>
      </c>
    </row>
    <row r="66" spans="5:12" ht="26.4" x14ac:dyDescent="0.25">
      <c r="E66" s="52" t="s">
        <v>352</v>
      </c>
      <c r="F66" s="76">
        <f>F112</f>
        <v>-743820.12</v>
      </c>
      <c r="G66" s="76">
        <f t="shared" ref="G66:K66" si="55">G112</f>
        <v>-541856.76</v>
      </c>
      <c r="H66" s="76">
        <f t="shared" si="55"/>
        <v>-260222.21</v>
      </c>
      <c r="I66" s="76">
        <f t="shared" si="55"/>
        <v>-231305.98</v>
      </c>
      <c r="J66" s="76">
        <f t="shared" si="55"/>
        <v>326616.02</v>
      </c>
      <c r="K66" s="76">
        <f t="shared" si="55"/>
        <v>-346359.51</v>
      </c>
    </row>
    <row r="67" spans="5:12" x14ac:dyDescent="0.25">
      <c r="E67" s="43" t="s">
        <v>345</v>
      </c>
      <c r="L67" s="43" t="s">
        <v>379</v>
      </c>
    </row>
    <row r="68" spans="5:12" x14ac:dyDescent="0.25">
      <c r="E68" s="43" t="s">
        <v>341</v>
      </c>
      <c r="F68" s="76">
        <f>F117</f>
        <v>52499.59</v>
      </c>
      <c r="G68" s="76">
        <f t="shared" ref="G68:K68" si="56">G117</f>
        <v>114718.68</v>
      </c>
      <c r="H68" s="76">
        <f t="shared" si="56"/>
        <v>172318.78</v>
      </c>
      <c r="I68" s="76">
        <f t="shared" si="56"/>
        <v>1677718.99</v>
      </c>
      <c r="J68" s="76">
        <f t="shared" si="56"/>
        <v>510270.68</v>
      </c>
      <c r="K68" s="76">
        <f t="shared" si="56"/>
        <v>-119680.81</v>
      </c>
    </row>
    <row r="69" spans="5:12" x14ac:dyDescent="0.25">
      <c r="E69" s="43" t="s">
        <v>315</v>
      </c>
      <c r="F69" s="76">
        <f>F119</f>
        <v>52499.59</v>
      </c>
      <c r="G69" s="76">
        <f t="shared" ref="G69:K69" si="57">G119</f>
        <v>114718.68</v>
      </c>
      <c r="H69" s="76">
        <f t="shared" si="57"/>
        <v>172318.78</v>
      </c>
      <c r="I69" s="76">
        <f t="shared" si="57"/>
        <v>1677718.99</v>
      </c>
      <c r="J69" s="76">
        <f t="shared" si="57"/>
        <v>510270.68</v>
      </c>
      <c r="K69" s="76">
        <f t="shared" si="57"/>
        <v>-119680.81</v>
      </c>
    </row>
    <row r="70" spans="5:12" x14ac:dyDescent="0.25">
      <c r="E70" s="43" t="s">
        <v>358</v>
      </c>
      <c r="F70" s="76">
        <f>F108</f>
        <v>2042466.98</v>
      </c>
      <c r="G70" s="76">
        <f t="shared" ref="G70:K70" si="58">G108</f>
        <v>1921944.68</v>
      </c>
      <c r="H70" s="76">
        <f t="shared" si="58"/>
        <v>679510.47</v>
      </c>
      <c r="I70" s="76">
        <f t="shared" si="58"/>
        <v>903873.71</v>
      </c>
      <c r="J70" s="76">
        <f t="shared" si="58"/>
        <v>1362117.11</v>
      </c>
      <c r="K70" s="76">
        <f t="shared" si="58"/>
        <v>249714.66</v>
      </c>
    </row>
    <row r="71" spans="5:12" x14ac:dyDescent="0.25">
      <c r="E71" s="43" t="s">
        <v>359</v>
      </c>
      <c r="F71" s="76">
        <f>F113</f>
        <v>808778.56</v>
      </c>
      <c r="G71" s="76">
        <f t="shared" ref="G71:K71" si="59">G113</f>
        <v>656586.59</v>
      </c>
      <c r="H71" s="76">
        <f t="shared" si="59"/>
        <v>432630.83</v>
      </c>
      <c r="I71" s="76">
        <f t="shared" si="59"/>
        <v>1909031.35</v>
      </c>
      <c r="J71" s="76">
        <f t="shared" si="59"/>
        <v>190135.18</v>
      </c>
      <c r="K71" s="76">
        <f t="shared" si="59"/>
        <v>226975.35999999999</v>
      </c>
    </row>
    <row r="72" spans="5:12" x14ac:dyDescent="0.25">
      <c r="E72" s="43" t="s">
        <v>347</v>
      </c>
      <c r="L72" s="43" t="s">
        <v>379</v>
      </c>
    </row>
    <row r="73" spans="5:12" x14ac:dyDescent="0.25">
      <c r="E73" s="43" t="s">
        <v>348</v>
      </c>
      <c r="L73" s="43" t="s">
        <v>379</v>
      </c>
    </row>
    <row r="74" spans="5:12" x14ac:dyDescent="0.25">
      <c r="E74" s="43" t="s">
        <v>349</v>
      </c>
      <c r="L74" s="43" t="s">
        <v>379</v>
      </c>
    </row>
    <row r="75" spans="5:12" x14ac:dyDescent="0.25">
      <c r="E75" s="43" t="s">
        <v>357</v>
      </c>
      <c r="F75" s="76">
        <f>F115</f>
        <v>0</v>
      </c>
      <c r="G75" s="76">
        <f t="shared" ref="G75:K75" si="60">G115</f>
        <v>0</v>
      </c>
      <c r="H75" s="76">
        <f t="shared" si="60"/>
        <v>0</v>
      </c>
      <c r="I75" s="76">
        <f t="shared" si="60"/>
        <v>0</v>
      </c>
      <c r="J75" s="76">
        <f t="shared" si="60"/>
        <v>0</v>
      </c>
      <c r="K75" s="76">
        <f t="shared" si="60"/>
        <v>0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L77" s="43" t="s">
        <v>379</v>
      </c>
    </row>
    <row r="78" spans="5:12" x14ac:dyDescent="0.25">
      <c r="E78" s="43" t="s">
        <v>355</v>
      </c>
      <c r="L78" s="43" t="s">
        <v>379</v>
      </c>
    </row>
    <row r="79" spans="5:12" x14ac:dyDescent="0.25">
      <c r="E79" s="43" t="s">
        <v>316</v>
      </c>
      <c r="F79" s="76">
        <f>F96</f>
        <v>3210774.64</v>
      </c>
      <c r="G79" s="76">
        <f t="shared" ref="G79:K80" si="61">G96</f>
        <v>3076702.35</v>
      </c>
      <c r="H79" s="76">
        <f t="shared" si="61"/>
        <v>3384378.61</v>
      </c>
      <c r="I79" s="76">
        <f t="shared" si="61"/>
        <v>3975017.85</v>
      </c>
      <c r="J79" s="76">
        <f t="shared" si="61"/>
        <v>2232888.2799999998</v>
      </c>
      <c r="K79" s="76">
        <f t="shared" si="61"/>
        <v>923495.32</v>
      </c>
    </row>
    <row r="80" spans="5:12" x14ac:dyDescent="0.25">
      <c r="E80" s="43" t="s">
        <v>311</v>
      </c>
      <c r="F80" s="76">
        <f>F97</f>
        <v>2519888.54</v>
      </c>
      <c r="G80" s="76">
        <f t="shared" si="61"/>
        <v>2467388.9500000002</v>
      </c>
      <c r="H80" s="76">
        <f t="shared" si="61"/>
        <v>2352670.27</v>
      </c>
      <c r="I80" s="76">
        <f t="shared" si="61"/>
        <v>2180351.4900000002</v>
      </c>
      <c r="J80" s="76">
        <f t="shared" si="61"/>
        <v>502632.5</v>
      </c>
      <c r="K80" s="76">
        <f t="shared" si="61"/>
        <v>33824.79</v>
      </c>
    </row>
    <row r="81" spans="5:12" x14ac:dyDescent="0.25">
      <c r="E81" s="43" t="s">
        <v>317</v>
      </c>
      <c r="F81" s="76">
        <f>F104</f>
        <v>0</v>
      </c>
      <c r="G81" s="76">
        <f t="shared" ref="G81:K81" si="62">G104</f>
        <v>0</v>
      </c>
      <c r="H81" s="76">
        <f t="shared" si="62"/>
        <v>0</v>
      </c>
      <c r="I81" s="76">
        <f t="shared" si="62"/>
        <v>252234.83</v>
      </c>
      <c r="J81" s="76">
        <f t="shared" si="62"/>
        <v>0</v>
      </c>
      <c r="K81" s="76">
        <f t="shared" si="62"/>
        <v>0</v>
      </c>
    </row>
    <row r="83" spans="5:12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L83" s="94"/>
    </row>
    <row r="84" spans="5:12" x14ac:dyDescent="0.25">
      <c r="E84" s="95" t="s">
        <v>102</v>
      </c>
      <c r="F84" s="97">
        <v>1924144.11</v>
      </c>
      <c r="G84" s="97">
        <v>2063767.12</v>
      </c>
      <c r="H84" s="97">
        <v>2255735.6</v>
      </c>
      <c r="I84" s="97">
        <v>2292623.6</v>
      </c>
      <c r="J84" s="97">
        <v>1490136.9</v>
      </c>
      <c r="K84" s="97">
        <v>725558.92</v>
      </c>
      <c r="L84" s="95"/>
    </row>
    <row r="85" spans="5:12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2" x14ac:dyDescent="0.25">
      <c r="E86" s="43" t="s">
        <v>108</v>
      </c>
      <c r="F86" s="97">
        <v>1924144.11</v>
      </c>
      <c r="G86" s="97">
        <v>2063767.12</v>
      </c>
      <c r="H86" s="97">
        <v>2255735.6</v>
      </c>
      <c r="I86" s="97">
        <v>2292623.6</v>
      </c>
      <c r="J86" s="97">
        <v>1490136.9</v>
      </c>
      <c r="K86" s="97">
        <v>725558.92</v>
      </c>
    </row>
    <row r="87" spans="5:12" x14ac:dyDescent="0.25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2" x14ac:dyDescent="0.25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2" x14ac:dyDescent="0.25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2" x14ac:dyDescent="0.25">
      <c r="E90" s="95" t="s">
        <v>136</v>
      </c>
      <c r="F90" s="97">
        <v>1286630.53</v>
      </c>
      <c r="G90" s="97">
        <v>1012935.23</v>
      </c>
      <c r="H90" s="97">
        <v>1128643.01</v>
      </c>
      <c r="I90" s="97">
        <v>1682394.25</v>
      </c>
      <c r="J90" s="97">
        <v>742751.38</v>
      </c>
      <c r="K90" s="97">
        <v>197936.4</v>
      </c>
      <c r="L90" s="95"/>
    </row>
    <row r="91" spans="5:12" x14ac:dyDescent="0.25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2" x14ac:dyDescent="0.25">
      <c r="E92" s="43" t="s">
        <v>143</v>
      </c>
      <c r="F92" s="97">
        <v>782840.83</v>
      </c>
      <c r="G92" s="97">
        <v>573149.18000000005</v>
      </c>
      <c r="H92" s="97">
        <v>542852.96</v>
      </c>
      <c r="I92" s="97">
        <v>485385.53</v>
      </c>
      <c r="J92" s="97">
        <v>432987.78</v>
      </c>
      <c r="K92" s="97">
        <v>26654.87</v>
      </c>
    </row>
    <row r="93" spans="5:12" x14ac:dyDescent="0.25">
      <c r="E93" s="43" t="s">
        <v>154</v>
      </c>
      <c r="F93" s="97">
        <v>0</v>
      </c>
      <c r="G93" s="97">
        <v>434891.51</v>
      </c>
      <c r="H93" s="97">
        <v>583281.68000000005</v>
      </c>
      <c r="I93" s="97">
        <v>1195092.25</v>
      </c>
      <c r="J93" s="97">
        <v>0</v>
      </c>
      <c r="K93" s="97">
        <v>170762.7</v>
      </c>
    </row>
    <row r="94" spans="5:12" x14ac:dyDescent="0.25">
      <c r="E94" s="43" t="s">
        <v>166</v>
      </c>
      <c r="F94" s="97">
        <v>0</v>
      </c>
      <c r="G94" s="97">
        <v>4894.54</v>
      </c>
      <c r="H94" s="97">
        <v>2508.37</v>
      </c>
      <c r="I94" s="97">
        <v>1916.47</v>
      </c>
      <c r="J94" s="97">
        <v>0</v>
      </c>
      <c r="K94" s="97">
        <v>518.83000000000004</v>
      </c>
    </row>
    <row r="95" spans="5:12" x14ac:dyDescent="0.25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  <c r="L95" s="95"/>
    </row>
    <row r="96" spans="5:12" x14ac:dyDescent="0.25">
      <c r="E96" s="95" t="s">
        <v>169</v>
      </c>
      <c r="F96" s="97">
        <v>3210774.64</v>
      </c>
      <c r="G96" s="97">
        <v>3076702.35</v>
      </c>
      <c r="H96" s="97">
        <v>3384378.61</v>
      </c>
      <c r="I96" s="97">
        <v>3975017.85</v>
      </c>
      <c r="J96" s="97">
        <v>2232888.2799999998</v>
      </c>
      <c r="K96" s="97">
        <v>923495.32</v>
      </c>
      <c r="L96" s="95"/>
    </row>
    <row r="97" spans="5:12" x14ac:dyDescent="0.25">
      <c r="E97" s="95" t="s">
        <v>170</v>
      </c>
      <c r="F97" s="97">
        <v>2519888.54</v>
      </c>
      <c r="G97" s="97">
        <v>2467388.9500000002</v>
      </c>
      <c r="H97" s="97">
        <v>2352670.27</v>
      </c>
      <c r="I97" s="97">
        <v>2180351.4900000002</v>
      </c>
      <c r="J97" s="97">
        <v>502632.5</v>
      </c>
      <c r="K97" s="97">
        <v>33824.79</v>
      </c>
      <c r="L97" s="95"/>
    </row>
    <row r="98" spans="5:12" x14ac:dyDescent="0.25">
      <c r="E98" s="43" t="s">
        <v>171</v>
      </c>
      <c r="F98" s="97">
        <v>100</v>
      </c>
      <c r="G98" s="97">
        <v>100</v>
      </c>
      <c r="H98" s="97">
        <v>100</v>
      </c>
      <c r="I98" s="97">
        <v>100</v>
      </c>
      <c r="J98" s="97">
        <v>100</v>
      </c>
      <c r="K98" s="97">
        <v>100</v>
      </c>
    </row>
    <row r="99" spans="5:12" x14ac:dyDescent="0.25">
      <c r="E99" s="43" t="s">
        <v>176</v>
      </c>
      <c r="F99" s="97">
        <v>0</v>
      </c>
      <c r="G99" s="97">
        <v>2352570.27</v>
      </c>
      <c r="H99" s="97">
        <v>2180251.4900000002</v>
      </c>
      <c r="I99" s="97">
        <v>0</v>
      </c>
      <c r="J99" s="97">
        <v>0</v>
      </c>
      <c r="K99" s="97">
        <v>153405.6</v>
      </c>
    </row>
    <row r="100" spans="5:12" x14ac:dyDescent="0.25">
      <c r="E100" s="43" t="s">
        <v>179</v>
      </c>
      <c r="F100" s="97">
        <v>0</v>
      </c>
      <c r="G100" s="97">
        <v>0</v>
      </c>
      <c r="H100" s="97">
        <v>0</v>
      </c>
      <c r="I100" s="97">
        <v>0</v>
      </c>
      <c r="J100" s="97">
        <v>-119680.81</v>
      </c>
      <c r="K100" s="97">
        <v>0</v>
      </c>
    </row>
    <row r="101" spans="5:12" x14ac:dyDescent="0.25">
      <c r="E101" s="43" t="s">
        <v>180</v>
      </c>
      <c r="F101" s="97">
        <v>52499.59</v>
      </c>
      <c r="G101" s="97">
        <v>114718.68</v>
      </c>
      <c r="H101" s="97">
        <v>172318.78</v>
      </c>
      <c r="I101" s="97">
        <v>1677718.99</v>
      </c>
      <c r="J101" s="97">
        <v>510270.68</v>
      </c>
      <c r="K101" s="97">
        <v>-119680.81</v>
      </c>
    </row>
    <row r="102" spans="5:12" x14ac:dyDescent="0.25">
      <c r="E102" s="95" t="s">
        <v>182</v>
      </c>
      <c r="F102" s="97">
        <v>690886.1</v>
      </c>
      <c r="G102" s="97">
        <v>609313.4</v>
      </c>
      <c r="H102" s="97">
        <v>1031708.34</v>
      </c>
      <c r="I102" s="97">
        <v>1794666.36</v>
      </c>
      <c r="J102" s="97">
        <v>1730255.78</v>
      </c>
      <c r="K102" s="97">
        <v>889670.53</v>
      </c>
      <c r="L102" s="95"/>
    </row>
    <row r="103" spans="5:12" x14ac:dyDescent="0.25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2" x14ac:dyDescent="0.25">
      <c r="E104" s="43" t="s">
        <v>189</v>
      </c>
      <c r="F104" s="97">
        <v>0</v>
      </c>
      <c r="G104" s="97">
        <v>0</v>
      </c>
      <c r="H104" s="97">
        <v>0</v>
      </c>
      <c r="I104" s="97">
        <v>252234.83</v>
      </c>
      <c r="J104" s="97">
        <v>0</v>
      </c>
      <c r="K104" s="97">
        <v>0</v>
      </c>
    </row>
    <row r="105" spans="5:12" x14ac:dyDescent="0.25">
      <c r="E105" s="43" t="s">
        <v>198</v>
      </c>
      <c r="F105" s="97">
        <v>690886.1</v>
      </c>
      <c r="G105" s="97">
        <v>609313.4</v>
      </c>
      <c r="H105" s="97">
        <v>560040.14</v>
      </c>
      <c r="I105" s="97">
        <v>334055.02</v>
      </c>
      <c r="J105" s="97">
        <v>247455.9</v>
      </c>
      <c r="K105" s="97">
        <v>489670.53</v>
      </c>
    </row>
    <row r="106" spans="5:12" x14ac:dyDescent="0.25">
      <c r="E106" s="43" t="s">
        <v>208</v>
      </c>
      <c r="F106" s="97">
        <v>0</v>
      </c>
      <c r="G106" s="97">
        <v>0</v>
      </c>
      <c r="H106" s="97">
        <v>471668.2</v>
      </c>
      <c r="I106" s="97">
        <v>1208376.51</v>
      </c>
      <c r="J106" s="97">
        <v>1224934.1100000001</v>
      </c>
      <c r="K106" s="97">
        <v>400000</v>
      </c>
    </row>
    <row r="107" spans="5:12" x14ac:dyDescent="0.25">
      <c r="E107" s="95" t="s">
        <v>212</v>
      </c>
      <c r="F107" s="97">
        <v>3210774.64</v>
      </c>
      <c r="G107" s="97">
        <v>3076702.35</v>
      </c>
      <c r="H107" s="97">
        <v>3384378.61</v>
      </c>
      <c r="I107" s="97">
        <v>3975017.85</v>
      </c>
      <c r="J107" s="97">
        <v>2232888.2799999998</v>
      </c>
      <c r="K107" s="97">
        <v>923495.32</v>
      </c>
      <c r="L107" s="95"/>
    </row>
    <row r="108" spans="5:12" x14ac:dyDescent="0.25">
      <c r="E108" s="151" t="s">
        <v>274</v>
      </c>
      <c r="F108" s="97">
        <v>2042466.98</v>
      </c>
      <c r="G108" s="97">
        <v>1921944.68</v>
      </c>
      <c r="H108" s="97">
        <v>679510.47</v>
      </c>
      <c r="I108" s="97">
        <v>903873.71</v>
      </c>
      <c r="J108" s="97">
        <v>1362117.11</v>
      </c>
      <c r="K108" s="97">
        <v>249714.66</v>
      </c>
      <c r="L108" s="95"/>
    </row>
    <row r="109" spans="5:12" x14ac:dyDescent="0.25">
      <c r="E109" s="95" t="s">
        <v>275</v>
      </c>
      <c r="F109" s="97">
        <v>2786287.1</v>
      </c>
      <c r="G109" s="97">
        <v>2463801.44</v>
      </c>
      <c r="H109" s="97">
        <v>2437581.75</v>
      </c>
      <c r="I109" s="97">
        <v>1135179.69</v>
      </c>
      <c r="J109" s="97">
        <v>1035501.09</v>
      </c>
      <c r="K109" s="97">
        <v>596074.17000000004</v>
      </c>
      <c r="L109" s="95"/>
    </row>
    <row r="110" spans="5:12" x14ac:dyDescent="0.25">
      <c r="E110" s="95" t="s">
        <v>276</v>
      </c>
      <c r="F110" s="97">
        <v>-743820.12</v>
      </c>
      <c r="G110" s="97">
        <v>-541856.76</v>
      </c>
      <c r="H110" s="97">
        <v>-260222.21</v>
      </c>
      <c r="I110" s="97">
        <v>-231305.98</v>
      </c>
      <c r="J110" s="97">
        <v>326616.02</v>
      </c>
      <c r="K110" s="97">
        <v>-346359.51</v>
      </c>
      <c r="L110" s="95"/>
    </row>
    <row r="111" spans="5:12" x14ac:dyDescent="0.25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L111" s="95"/>
    </row>
    <row r="112" spans="5:12" x14ac:dyDescent="0.25">
      <c r="E112" s="95" t="s">
        <v>277</v>
      </c>
      <c r="F112" s="97">
        <v>-743820.12</v>
      </c>
      <c r="G112" s="97">
        <v>-541856.76</v>
      </c>
      <c r="H112" s="97">
        <v>-260222.21</v>
      </c>
      <c r="I112" s="97">
        <v>-231305.98</v>
      </c>
      <c r="J112" s="97">
        <v>326616.02</v>
      </c>
      <c r="K112" s="97">
        <v>-346359.51</v>
      </c>
      <c r="L112" s="95"/>
    </row>
    <row r="113" spans="5:12" x14ac:dyDescent="0.25">
      <c r="E113" s="95" t="s">
        <v>278</v>
      </c>
      <c r="F113" s="97">
        <v>808778.56</v>
      </c>
      <c r="G113" s="97">
        <v>656586.59</v>
      </c>
      <c r="H113" s="97">
        <v>432630.83</v>
      </c>
      <c r="I113" s="97">
        <v>1909031.35</v>
      </c>
      <c r="J113" s="97">
        <v>190135.18</v>
      </c>
      <c r="K113" s="97">
        <v>226975.35999999999</v>
      </c>
      <c r="L113" s="95"/>
    </row>
    <row r="114" spans="5:12" x14ac:dyDescent="0.25">
      <c r="E114" s="95" t="s">
        <v>279</v>
      </c>
      <c r="F114" s="97">
        <v>5002.2299999999996</v>
      </c>
      <c r="G114" s="97">
        <v>0</v>
      </c>
      <c r="H114" s="97">
        <v>1.48</v>
      </c>
      <c r="I114" s="97">
        <v>6.38</v>
      </c>
      <c r="J114" s="97">
        <v>0.32</v>
      </c>
      <c r="K114" s="97">
        <v>1.47</v>
      </c>
      <c r="L114" s="95"/>
    </row>
    <row r="115" spans="5:12" x14ac:dyDescent="0.25">
      <c r="E115" s="95" t="s">
        <v>1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L115" s="95"/>
    </row>
    <row r="116" spans="5:12" x14ac:dyDescent="0.25">
      <c r="E116" s="95" t="s">
        <v>2</v>
      </c>
      <c r="F116" s="97">
        <v>7456.62</v>
      </c>
      <c r="G116" s="97">
        <v>11.15</v>
      </c>
      <c r="H116" s="97">
        <v>88.36</v>
      </c>
      <c r="I116" s="97">
        <v>0</v>
      </c>
      <c r="J116" s="97">
        <v>6480.2</v>
      </c>
      <c r="K116" s="97">
        <v>295.19</v>
      </c>
      <c r="L116" s="95"/>
    </row>
    <row r="117" spans="5:12" x14ac:dyDescent="0.25">
      <c r="E117" s="95" t="s">
        <v>280</v>
      </c>
      <c r="F117" s="97">
        <v>52499.59</v>
      </c>
      <c r="G117" s="97">
        <v>114718.68</v>
      </c>
      <c r="H117" s="97">
        <v>172318.78</v>
      </c>
      <c r="I117" s="97">
        <v>1677718.99</v>
      </c>
      <c r="J117" s="97">
        <v>510270.68</v>
      </c>
      <c r="K117" s="97">
        <v>-119680.81</v>
      </c>
      <c r="L117" s="95"/>
    </row>
    <row r="118" spans="5:12" x14ac:dyDescent="0.25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L118" s="95"/>
    </row>
    <row r="119" spans="5:12" x14ac:dyDescent="0.25">
      <c r="E119" s="95" t="s">
        <v>282</v>
      </c>
      <c r="F119" s="97">
        <v>52499.59</v>
      </c>
      <c r="G119" s="97">
        <v>114718.68</v>
      </c>
      <c r="H119" s="97">
        <v>172318.78</v>
      </c>
      <c r="I119" s="97">
        <v>1677718.99</v>
      </c>
      <c r="J119" s="97">
        <v>510270.68</v>
      </c>
      <c r="K119" s="97">
        <v>-119680.81</v>
      </c>
      <c r="L119" s="95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17A68-4097-450F-9BF1-D7971B02BECC}">
  <sheetPr>
    <tabColor theme="4" tint="0.79998168889431442"/>
  </sheetPr>
  <dimension ref="A1:N279"/>
  <sheetViews>
    <sheetView topLeftCell="D240" workbookViewId="0">
      <selection activeCell="D1" sqref="D1:L283"/>
    </sheetView>
  </sheetViews>
  <sheetFormatPr defaultRowHeight="13.2" x14ac:dyDescent="0.25"/>
  <cols>
    <col min="1" max="2" width="9.109375" style="43"/>
    <col min="3" max="4" width="9.88671875" style="79" customWidth="1"/>
    <col min="5" max="5" width="54" style="43" customWidth="1"/>
    <col min="6" max="11" width="18.44140625" style="43" customWidth="1"/>
    <col min="12" max="260" width="9.109375" style="43"/>
    <col min="261" max="261" width="54" style="43" customWidth="1"/>
    <col min="262" max="267" width="24" style="43" customWidth="1"/>
    <col min="268" max="516" width="9.109375" style="43"/>
    <col min="517" max="517" width="54" style="43" customWidth="1"/>
    <col min="518" max="523" width="24" style="43" customWidth="1"/>
    <col min="524" max="772" width="9.109375" style="43"/>
    <col min="773" max="773" width="54" style="43" customWidth="1"/>
    <col min="774" max="779" width="24" style="43" customWidth="1"/>
    <col min="780" max="1028" width="9.109375" style="43"/>
    <col min="1029" max="1029" width="54" style="43" customWidth="1"/>
    <col min="1030" max="1035" width="24" style="43" customWidth="1"/>
    <col min="1036" max="1284" width="9.109375" style="43"/>
    <col min="1285" max="1285" width="54" style="43" customWidth="1"/>
    <col min="1286" max="1291" width="24" style="43" customWidth="1"/>
    <col min="1292" max="1540" width="9.109375" style="43"/>
    <col min="1541" max="1541" width="54" style="43" customWidth="1"/>
    <col min="1542" max="1547" width="24" style="43" customWidth="1"/>
    <col min="1548" max="1796" width="9.109375" style="43"/>
    <col min="1797" max="1797" width="54" style="43" customWidth="1"/>
    <col min="1798" max="1803" width="24" style="43" customWidth="1"/>
    <col min="1804" max="2052" width="9.109375" style="43"/>
    <col min="2053" max="2053" width="54" style="43" customWidth="1"/>
    <col min="2054" max="2059" width="24" style="43" customWidth="1"/>
    <col min="2060" max="2308" width="9.109375" style="43"/>
    <col min="2309" max="2309" width="54" style="43" customWidth="1"/>
    <col min="2310" max="2315" width="24" style="43" customWidth="1"/>
    <col min="2316" max="2564" width="9.109375" style="43"/>
    <col min="2565" max="2565" width="54" style="43" customWidth="1"/>
    <col min="2566" max="2571" width="24" style="43" customWidth="1"/>
    <col min="2572" max="2820" width="9.109375" style="43"/>
    <col min="2821" max="2821" width="54" style="43" customWidth="1"/>
    <col min="2822" max="2827" width="24" style="43" customWidth="1"/>
    <col min="2828" max="3076" width="9.109375" style="43"/>
    <col min="3077" max="3077" width="54" style="43" customWidth="1"/>
    <col min="3078" max="3083" width="24" style="43" customWidth="1"/>
    <col min="3084" max="3332" width="9.109375" style="43"/>
    <col min="3333" max="3333" width="54" style="43" customWidth="1"/>
    <col min="3334" max="3339" width="24" style="43" customWidth="1"/>
    <col min="3340" max="3588" width="9.109375" style="43"/>
    <col min="3589" max="3589" width="54" style="43" customWidth="1"/>
    <col min="3590" max="3595" width="24" style="43" customWidth="1"/>
    <col min="3596" max="3844" width="9.109375" style="43"/>
    <col min="3845" max="3845" width="54" style="43" customWidth="1"/>
    <col min="3846" max="3851" width="24" style="43" customWidth="1"/>
    <col min="3852" max="4100" width="9.109375" style="43"/>
    <col min="4101" max="4101" width="54" style="43" customWidth="1"/>
    <col min="4102" max="4107" width="24" style="43" customWidth="1"/>
    <col min="4108" max="4356" width="9.109375" style="43"/>
    <col min="4357" max="4357" width="54" style="43" customWidth="1"/>
    <col min="4358" max="4363" width="24" style="43" customWidth="1"/>
    <col min="4364" max="4612" width="9.109375" style="43"/>
    <col min="4613" max="4613" width="54" style="43" customWidth="1"/>
    <col min="4614" max="4619" width="24" style="43" customWidth="1"/>
    <col min="4620" max="4868" width="9.109375" style="43"/>
    <col min="4869" max="4869" width="54" style="43" customWidth="1"/>
    <col min="4870" max="4875" width="24" style="43" customWidth="1"/>
    <col min="4876" max="5124" width="9.109375" style="43"/>
    <col min="5125" max="5125" width="54" style="43" customWidth="1"/>
    <col min="5126" max="5131" width="24" style="43" customWidth="1"/>
    <col min="5132" max="5380" width="9.109375" style="43"/>
    <col min="5381" max="5381" width="54" style="43" customWidth="1"/>
    <col min="5382" max="5387" width="24" style="43" customWidth="1"/>
    <col min="5388" max="5636" width="9.109375" style="43"/>
    <col min="5637" max="5637" width="54" style="43" customWidth="1"/>
    <col min="5638" max="5643" width="24" style="43" customWidth="1"/>
    <col min="5644" max="5892" width="9.109375" style="43"/>
    <col min="5893" max="5893" width="54" style="43" customWidth="1"/>
    <col min="5894" max="5899" width="24" style="43" customWidth="1"/>
    <col min="5900" max="6148" width="9.109375" style="43"/>
    <col min="6149" max="6149" width="54" style="43" customWidth="1"/>
    <col min="6150" max="6155" width="24" style="43" customWidth="1"/>
    <col min="6156" max="6404" width="9.109375" style="43"/>
    <col min="6405" max="6405" width="54" style="43" customWidth="1"/>
    <col min="6406" max="6411" width="24" style="43" customWidth="1"/>
    <col min="6412" max="6660" width="9.109375" style="43"/>
    <col min="6661" max="6661" width="54" style="43" customWidth="1"/>
    <col min="6662" max="6667" width="24" style="43" customWidth="1"/>
    <col min="6668" max="6916" width="9.109375" style="43"/>
    <col min="6917" max="6917" width="54" style="43" customWidth="1"/>
    <col min="6918" max="6923" width="24" style="43" customWidth="1"/>
    <col min="6924" max="7172" width="9.109375" style="43"/>
    <col min="7173" max="7173" width="54" style="43" customWidth="1"/>
    <col min="7174" max="7179" width="24" style="43" customWidth="1"/>
    <col min="7180" max="7428" width="9.109375" style="43"/>
    <col min="7429" max="7429" width="54" style="43" customWidth="1"/>
    <col min="7430" max="7435" width="24" style="43" customWidth="1"/>
    <col min="7436" max="7684" width="9.109375" style="43"/>
    <col min="7685" max="7685" width="54" style="43" customWidth="1"/>
    <col min="7686" max="7691" width="24" style="43" customWidth="1"/>
    <col min="7692" max="7940" width="9.109375" style="43"/>
    <col min="7941" max="7941" width="54" style="43" customWidth="1"/>
    <col min="7942" max="7947" width="24" style="43" customWidth="1"/>
    <col min="7948" max="8196" width="9.109375" style="43"/>
    <col min="8197" max="8197" width="54" style="43" customWidth="1"/>
    <col min="8198" max="8203" width="24" style="43" customWidth="1"/>
    <col min="8204" max="8452" width="9.109375" style="43"/>
    <col min="8453" max="8453" width="54" style="43" customWidth="1"/>
    <col min="8454" max="8459" width="24" style="43" customWidth="1"/>
    <col min="8460" max="8708" width="9.109375" style="43"/>
    <col min="8709" max="8709" width="54" style="43" customWidth="1"/>
    <col min="8710" max="8715" width="24" style="43" customWidth="1"/>
    <col min="8716" max="8964" width="9.109375" style="43"/>
    <col min="8965" max="8965" width="54" style="43" customWidth="1"/>
    <col min="8966" max="8971" width="24" style="43" customWidth="1"/>
    <col min="8972" max="9220" width="9.109375" style="43"/>
    <col min="9221" max="9221" width="54" style="43" customWidth="1"/>
    <col min="9222" max="9227" width="24" style="43" customWidth="1"/>
    <col min="9228" max="9476" width="9.109375" style="43"/>
    <col min="9477" max="9477" width="54" style="43" customWidth="1"/>
    <col min="9478" max="9483" width="24" style="43" customWidth="1"/>
    <col min="9484" max="9732" width="9.109375" style="43"/>
    <col min="9733" max="9733" width="54" style="43" customWidth="1"/>
    <col min="9734" max="9739" width="24" style="43" customWidth="1"/>
    <col min="9740" max="9988" width="9.109375" style="43"/>
    <col min="9989" max="9989" width="54" style="43" customWidth="1"/>
    <col min="9990" max="9995" width="24" style="43" customWidth="1"/>
    <col min="9996" max="10244" width="9.109375" style="43"/>
    <col min="10245" max="10245" width="54" style="43" customWidth="1"/>
    <col min="10246" max="10251" width="24" style="43" customWidth="1"/>
    <col min="10252" max="10500" width="9.109375" style="43"/>
    <col min="10501" max="10501" width="54" style="43" customWidth="1"/>
    <col min="10502" max="10507" width="24" style="43" customWidth="1"/>
    <col min="10508" max="10756" width="9.109375" style="43"/>
    <col min="10757" max="10757" width="54" style="43" customWidth="1"/>
    <col min="10758" max="10763" width="24" style="43" customWidth="1"/>
    <col min="10764" max="11012" width="9.109375" style="43"/>
    <col min="11013" max="11013" width="54" style="43" customWidth="1"/>
    <col min="11014" max="11019" width="24" style="43" customWidth="1"/>
    <col min="11020" max="11268" width="9.109375" style="43"/>
    <col min="11269" max="11269" width="54" style="43" customWidth="1"/>
    <col min="11270" max="11275" width="24" style="43" customWidth="1"/>
    <col min="11276" max="11524" width="9.109375" style="43"/>
    <col min="11525" max="11525" width="54" style="43" customWidth="1"/>
    <col min="11526" max="11531" width="24" style="43" customWidth="1"/>
    <col min="11532" max="11780" width="9.109375" style="43"/>
    <col min="11781" max="11781" width="54" style="43" customWidth="1"/>
    <col min="11782" max="11787" width="24" style="43" customWidth="1"/>
    <col min="11788" max="12036" width="9.109375" style="43"/>
    <col min="12037" max="12037" width="54" style="43" customWidth="1"/>
    <col min="12038" max="12043" width="24" style="43" customWidth="1"/>
    <col min="12044" max="12292" width="9.109375" style="43"/>
    <col min="12293" max="12293" width="54" style="43" customWidth="1"/>
    <col min="12294" max="12299" width="24" style="43" customWidth="1"/>
    <col min="12300" max="12548" width="9.109375" style="43"/>
    <col min="12549" max="12549" width="54" style="43" customWidth="1"/>
    <col min="12550" max="12555" width="24" style="43" customWidth="1"/>
    <col min="12556" max="12804" width="9.109375" style="43"/>
    <col min="12805" max="12805" width="54" style="43" customWidth="1"/>
    <col min="12806" max="12811" width="24" style="43" customWidth="1"/>
    <col min="12812" max="13060" width="9.109375" style="43"/>
    <col min="13061" max="13061" width="54" style="43" customWidth="1"/>
    <col min="13062" max="13067" width="24" style="43" customWidth="1"/>
    <col min="13068" max="13316" width="9.109375" style="43"/>
    <col min="13317" max="13317" width="54" style="43" customWidth="1"/>
    <col min="13318" max="13323" width="24" style="43" customWidth="1"/>
    <col min="13324" max="13572" width="9.109375" style="43"/>
    <col min="13573" max="13573" width="54" style="43" customWidth="1"/>
    <col min="13574" max="13579" width="24" style="43" customWidth="1"/>
    <col min="13580" max="13828" width="9.109375" style="43"/>
    <col min="13829" max="13829" width="54" style="43" customWidth="1"/>
    <col min="13830" max="13835" width="24" style="43" customWidth="1"/>
    <col min="13836" max="14084" width="9.109375" style="43"/>
    <col min="14085" max="14085" width="54" style="43" customWidth="1"/>
    <col min="14086" max="14091" width="24" style="43" customWidth="1"/>
    <col min="14092" max="14340" width="9.109375" style="43"/>
    <col min="14341" max="14341" width="54" style="43" customWidth="1"/>
    <col min="14342" max="14347" width="24" style="43" customWidth="1"/>
    <col min="14348" max="14596" width="9.109375" style="43"/>
    <col min="14597" max="14597" width="54" style="43" customWidth="1"/>
    <col min="14598" max="14603" width="24" style="43" customWidth="1"/>
    <col min="14604" max="14852" width="9.109375" style="43"/>
    <col min="14853" max="14853" width="54" style="43" customWidth="1"/>
    <col min="14854" max="14859" width="24" style="43" customWidth="1"/>
    <col min="14860" max="15108" width="9.109375" style="43"/>
    <col min="15109" max="15109" width="54" style="43" customWidth="1"/>
    <col min="15110" max="15115" width="24" style="43" customWidth="1"/>
    <col min="15116" max="15364" width="9.109375" style="43"/>
    <col min="15365" max="15365" width="54" style="43" customWidth="1"/>
    <col min="15366" max="15371" width="24" style="43" customWidth="1"/>
    <col min="15372" max="15620" width="9.109375" style="43"/>
    <col min="15621" max="15621" width="54" style="43" customWidth="1"/>
    <col min="15622" max="15627" width="24" style="43" customWidth="1"/>
    <col min="15628" max="15876" width="9.109375" style="43"/>
    <col min="15877" max="15877" width="54" style="43" customWidth="1"/>
    <col min="15878" max="15883" width="24" style="43" customWidth="1"/>
    <col min="15884" max="16132" width="9.109375" style="43"/>
    <col min="16133" max="16133" width="54" style="43" customWidth="1"/>
    <col min="16134" max="16139" width="24" style="43" customWidth="1"/>
    <col min="16140" max="16384" width="9.109375" style="43"/>
  </cols>
  <sheetData>
    <row r="1" spans="1:14" ht="13.8" x14ac:dyDescent="0.25">
      <c r="E1" s="181" t="s">
        <v>404</v>
      </c>
      <c r="F1" s="180"/>
      <c r="G1" s="180"/>
      <c r="H1" s="180"/>
      <c r="I1" s="180"/>
      <c r="J1" s="180"/>
      <c r="K1" s="180"/>
    </row>
    <row r="2" spans="1:14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x14ac:dyDescent="0.25">
      <c r="E3" s="44" t="s">
        <v>291</v>
      </c>
      <c r="F3" s="45"/>
      <c r="G3" s="45"/>
      <c r="H3" s="45"/>
      <c r="I3" s="45"/>
      <c r="J3" s="45"/>
      <c r="K3" s="45"/>
    </row>
    <row r="4" spans="1:14" x14ac:dyDescent="0.25">
      <c r="A4" s="139">
        <f>MIN(F4:K4)</f>
        <v>0.21901919008357959</v>
      </c>
      <c r="B4" s="139">
        <f>MAX(F4:K4)</f>
        <v>2.0806548096241282</v>
      </c>
      <c r="C4" s="155">
        <f>AVERAGE(F4:K4)</f>
        <v>0.85776318306486488</v>
      </c>
      <c r="D4" s="156">
        <f>MEDIAN(F4:K4)</f>
        <v>0.3438308099364939</v>
      </c>
      <c r="E4" s="47" t="s">
        <v>364</v>
      </c>
      <c r="F4" s="71">
        <f>SUM(F9:F12)/SUM(F13:F15)</f>
        <v>0.3438308099364939</v>
      </c>
      <c r="G4" s="71">
        <f t="shared" ref="G4:J4" si="0">SUM(G9:G12)/SUM(G13:G15)</f>
        <v>0.21901919008357959</v>
      </c>
      <c r="H4" s="71">
        <f t="shared" si="0"/>
        <v>0.31014507661346857</v>
      </c>
      <c r="I4" s="71">
        <f t="shared" si="0"/>
        <v>1.3351660290666538</v>
      </c>
      <c r="J4" s="71">
        <f t="shared" si="0"/>
        <v>2.0806548096241282</v>
      </c>
      <c r="K4" s="162"/>
      <c r="M4" s="139"/>
      <c r="N4" s="139"/>
    </row>
    <row r="5" spans="1:14" x14ac:dyDescent="0.25">
      <c r="A5" s="139">
        <f t="shared" ref="A5:A7" si="1">MIN(F5:K5)</f>
        <v>1.910683855816494</v>
      </c>
      <c r="B5" s="139">
        <f t="shared" ref="B5:B7" si="2">MAX(F5:K5)</f>
        <v>6.7111717815081873</v>
      </c>
      <c r="C5" s="155">
        <f t="shared" ref="C5:C7" si="3">AVERAGEIF(F5:K5,"&gt;0")</f>
        <v>3.3525799414568205</v>
      </c>
      <c r="D5" s="156">
        <f t="shared" ref="D5:D7" si="4">_xlfn.AGGREGATE(12,6,F5:K5)</f>
        <v>2.2732066021430106</v>
      </c>
      <c r="E5" s="47" t="s">
        <v>363</v>
      </c>
      <c r="F5" s="71">
        <f t="shared" ref="F5:J5" si="5">SUM(F9:F12)/F14</f>
        <v>2.0220073858470551</v>
      </c>
      <c r="G5" s="71">
        <f t="shared" si="5"/>
        <v>1.910683855816494</v>
      </c>
      <c r="H5" s="71">
        <f t="shared" si="5"/>
        <v>3.8458300819693583</v>
      </c>
      <c r="I5" s="71">
        <f t="shared" si="5"/>
        <v>6.7111717815081873</v>
      </c>
      <c r="J5" s="71">
        <f t="shared" si="5"/>
        <v>2.2732066021430106</v>
      </c>
      <c r="K5" s="162"/>
    </row>
    <row r="6" spans="1:14" x14ac:dyDescent="0.25">
      <c r="A6" s="139">
        <f t="shared" si="1"/>
        <v>1.6972981737991759</v>
      </c>
      <c r="B6" s="139">
        <f t="shared" si="2"/>
        <v>6.6915258978761534</v>
      </c>
      <c r="C6" s="155">
        <f t="shared" si="3"/>
        <v>3.2455871084150196</v>
      </c>
      <c r="D6" s="156">
        <f t="shared" si="4"/>
        <v>2.0139093206827217</v>
      </c>
      <c r="E6" s="47" t="s">
        <v>365</v>
      </c>
      <c r="F6" s="71">
        <f t="shared" ref="F6:J6" si="6">SUM(F10:F11)/F14</f>
        <v>2.0139093206827217</v>
      </c>
      <c r="G6" s="71">
        <f t="shared" si="6"/>
        <v>1.6972981737991759</v>
      </c>
      <c r="H6" s="71">
        <f t="shared" si="6"/>
        <v>3.8268206169691523</v>
      </c>
      <c r="I6" s="71">
        <f t="shared" si="6"/>
        <v>6.6915258978761534</v>
      </c>
      <c r="J6" s="71">
        <f t="shared" si="6"/>
        <v>1.9983815327478951</v>
      </c>
      <c r="K6" s="162"/>
    </row>
    <row r="7" spans="1:14" ht="13.8" thickBot="1" x14ac:dyDescent="0.3">
      <c r="A7" s="139">
        <f t="shared" si="1"/>
        <v>1.1207631791788728</v>
      </c>
      <c r="B7" s="139">
        <f t="shared" si="2"/>
        <v>6.2354679645843092</v>
      </c>
      <c r="C7" s="155">
        <f t="shared" si="3"/>
        <v>2.5037363880080461</v>
      </c>
      <c r="D7" s="156">
        <f t="shared" si="4"/>
        <v>1.4972285176367042</v>
      </c>
      <c r="E7" s="49" t="s">
        <v>366</v>
      </c>
      <c r="F7" s="73">
        <f t="shared" ref="F7:J7" si="7">F11/F14</f>
        <v>1.2952382661509598</v>
      </c>
      <c r="G7" s="73">
        <f t="shared" si="7"/>
        <v>1.1207631791788728</v>
      </c>
      <c r="H7" s="73">
        <f t="shared" si="7"/>
        <v>2.3699840124893843</v>
      </c>
      <c r="I7" s="73">
        <f t="shared" si="7"/>
        <v>6.2354679645843092</v>
      </c>
      <c r="J7" s="73">
        <f t="shared" si="7"/>
        <v>1.4972285176367042</v>
      </c>
      <c r="K7" s="163"/>
    </row>
    <row r="9" spans="1:14" x14ac:dyDescent="0.25">
      <c r="E9" s="43" t="s">
        <v>289</v>
      </c>
      <c r="F9" s="76">
        <f>F127</f>
        <v>48</v>
      </c>
      <c r="G9" s="76">
        <f t="shared" ref="G9:K9" si="8">G127</f>
        <v>84048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x14ac:dyDescent="0.25">
      <c r="E10" s="43" t="s">
        <v>288</v>
      </c>
      <c r="F10" s="76">
        <f>F133</f>
        <v>458133.58</v>
      </c>
      <c r="G10" s="76">
        <f t="shared" ref="G10:K10" si="9">G133</f>
        <v>243267.54</v>
      </c>
      <c r="H10" s="76">
        <f t="shared" si="9"/>
        <v>449712.29</v>
      </c>
      <c r="I10" s="76">
        <f t="shared" si="9"/>
        <v>168731.06</v>
      </c>
      <c r="J10" s="76">
        <f t="shared" si="9"/>
        <v>131599.84</v>
      </c>
      <c r="K10" s="76">
        <f t="shared" si="9"/>
        <v>1338973.32</v>
      </c>
    </row>
    <row r="11" spans="1:14" x14ac:dyDescent="0.25">
      <c r="E11" s="43" t="s">
        <v>287</v>
      </c>
      <c r="F11" s="76">
        <f>F151</f>
        <v>825679.76</v>
      </c>
      <c r="G11" s="76">
        <f t="shared" ref="G11:K11" si="10">G151</f>
        <v>472903.3</v>
      </c>
      <c r="H11" s="76">
        <f t="shared" si="10"/>
        <v>731592.64</v>
      </c>
      <c r="I11" s="76">
        <f t="shared" si="10"/>
        <v>2306981.29</v>
      </c>
      <c r="J11" s="76">
        <f t="shared" si="10"/>
        <v>393163.42</v>
      </c>
      <c r="K11" s="76">
        <f t="shared" si="10"/>
        <v>0</v>
      </c>
    </row>
    <row r="12" spans="1:14" x14ac:dyDescent="0.25">
      <c r="E12" s="43" t="s">
        <v>290</v>
      </c>
      <c r="F12" s="76">
        <f>F168</f>
        <v>5114.3</v>
      </c>
      <c r="G12" s="76">
        <f t="shared" ref="G12:K12" si="11">G168</f>
        <v>5989.57</v>
      </c>
      <c r="H12" s="76">
        <f t="shared" si="11"/>
        <v>5868.05</v>
      </c>
      <c r="I12" s="76">
        <f t="shared" si="11"/>
        <v>7268.53</v>
      </c>
      <c r="J12" s="76">
        <f t="shared" si="11"/>
        <v>72167.45</v>
      </c>
      <c r="K12" s="76">
        <f t="shared" si="11"/>
        <v>0</v>
      </c>
    </row>
    <row r="13" spans="1:14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4" x14ac:dyDescent="0.25">
      <c r="E14" s="43" t="s">
        <v>286</v>
      </c>
      <c r="F14" s="76">
        <f>F202</f>
        <v>637473.26</v>
      </c>
      <c r="G14" s="76">
        <f t="shared" ref="G14:K14" si="13">G202</f>
        <v>421947.57</v>
      </c>
      <c r="H14" s="76">
        <f t="shared" si="13"/>
        <v>308690.96000000002</v>
      </c>
      <c r="I14" s="76">
        <f t="shared" si="13"/>
        <v>369977.25</v>
      </c>
      <c r="J14" s="76">
        <f t="shared" si="13"/>
        <v>262594.13</v>
      </c>
      <c r="K14" s="76">
        <f t="shared" si="13"/>
        <v>0</v>
      </c>
    </row>
    <row r="15" spans="1:14" x14ac:dyDescent="0.25">
      <c r="E15" s="43" t="s">
        <v>362</v>
      </c>
      <c r="F15" s="76">
        <f>F222</f>
        <v>3111392.76</v>
      </c>
      <c r="G15" s="76">
        <f t="shared" ref="G15:K15" si="14">G222</f>
        <v>3259046.82</v>
      </c>
      <c r="H15" s="76">
        <f t="shared" si="14"/>
        <v>3519107.93</v>
      </c>
      <c r="I15" s="76">
        <f t="shared" si="14"/>
        <v>1489702.24</v>
      </c>
      <c r="J15" s="76">
        <f t="shared" si="14"/>
        <v>24301.47</v>
      </c>
      <c r="K15" s="76">
        <f t="shared" si="14"/>
        <v>0</v>
      </c>
    </row>
    <row r="17" spans="1:13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3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3" x14ac:dyDescent="0.25">
      <c r="A19" s="152">
        <f t="shared" ref="A19:A25" si="15">MIN(F19:K19)</f>
        <v>26.091634459613452</v>
      </c>
      <c r="B19" s="152">
        <f t="shared" ref="B19:B25" si="16">MAX(F19:K19)</f>
        <v>359.85437497015636</v>
      </c>
      <c r="C19" s="156">
        <f>AVERAGE(F19:K19)</f>
        <v>92.511641953416756</v>
      </c>
      <c r="D19" s="156">
        <f>MEDIAN(F19:K19)</f>
        <v>36.249562622467423</v>
      </c>
      <c r="E19" s="47" t="s">
        <v>293</v>
      </c>
      <c r="F19" s="71">
        <f>F28/(F27/365)</f>
        <v>39.94557717439335</v>
      </c>
      <c r="G19" s="71">
        <f t="shared" ref="G19:K19" si="17">G28/(G27/365)</f>
        <v>32.553548070541488</v>
      </c>
      <c r="H19" s="71">
        <f t="shared" si="17"/>
        <v>69.243194805900643</v>
      </c>
      <c r="I19" s="71">
        <f t="shared" si="17"/>
        <v>27.381522239895276</v>
      </c>
      <c r="J19" s="71">
        <f t="shared" si="17"/>
        <v>26.091634459613452</v>
      </c>
      <c r="K19" s="71">
        <f t="shared" si="17"/>
        <v>359.85437497015636</v>
      </c>
      <c r="M19" s="157"/>
    </row>
    <row r="20" spans="1:13" x14ac:dyDescent="0.25">
      <c r="A20" s="152">
        <f t="shared" si="15"/>
        <v>0</v>
      </c>
      <c r="B20" s="152">
        <f t="shared" si="16"/>
        <v>11.247125729280901</v>
      </c>
      <c r="C20" s="156">
        <f t="shared" ref="C20:C25" si="18">AVERAGE(F20:K20)</f>
        <v>1.8752184907765477</v>
      </c>
      <c r="D20" s="156">
        <f t="shared" ref="D20:D25" si="19">MEDIAN(F20:K20)</f>
        <v>0</v>
      </c>
      <c r="E20" s="121" t="s">
        <v>367</v>
      </c>
      <c r="F20" s="71">
        <f>F29/(F27/365)</f>
        <v>4.1852153783856682E-3</v>
      </c>
      <c r="G20" s="71">
        <f t="shared" ref="G20:K20" si="20">G29/(G27/365)</f>
        <v>11.247125729280901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3" x14ac:dyDescent="0.25">
      <c r="A21" s="152">
        <f t="shared" si="15"/>
        <v>0</v>
      </c>
      <c r="B21" s="152">
        <f t="shared" si="16"/>
        <v>60.039570065702755</v>
      </c>
      <c r="C21" s="156">
        <f t="shared" si="18"/>
        <v>45.279883502305495</v>
      </c>
      <c r="D21" s="156">
        <f t="shared" si="19"/>
        <v>53.822884907450963</v>
      </c>
      <c r="E21" s="47" t="s">
        <v>368</v>
      </c>
      <c r="F21" s="71">
        <f>F30/(F27/365)</f>
        <v>55.582560230450952</v>
      </c>
      <c r="G21" s="71">
        <f t="shared" ref="G21:K21" si="21">G30/(G27/365)</f>
        <v>56.464132054951385</v>
      </c>
      <c r="H21" s="71">
        <f t="shared" si="21"/>
        <v>47.529829078276883</v>
      </c>
      <c r="I21" s="71">
        <f t="shared" si="21"/>
        <v>60.039570065702755</v>
      </c>
      <c r="J21" s="71">
        <f t="shared" si="21"/>
        <v>52.063209584450973</v>
      </c>
      <c r="K21" s="71">
        <f t="shared" si="21"/>
        <v>0</v>
      </c>
    </row>
    <row r="22" spans="1:13" x14ac:dyDescent="0.25">
      <c r="A22" s="152">
        <f t="shared" si="15"/>
        <v>-32.658047825807479</v>
      </c>
      <c r="B22" s="152">
        <f t="shared" si="16"/>
        <v>359.85437497015636</v>
      </c>
      <c r="C22" s="156">
        <f t="shared" si="18"/>
        <v>49.106976941887815</v>
      </c>
      <c r="D22" s="156">
        <f t="shared" si="19"/>
        <v>-14.148128047904105</v>
      </c>
      <c r="E22" s="47" t="s">
        <v>294</v>
      </c>
      <c r="F22" s="71">
        <f>F19+F20-F21</f>
        <v>-15.632797840679217</v>
      </c>
      <c r="G22" s="71">
        <f t="shared" ref="G22:K22" si="22">G19+G20-G21</f>
        <v>-12.663458255128994</v>
      </c>
      <c r="H22" s="71">
        <f t="shared" si="22"/>
        <v>21.71336572762376</v>
      </c>
      <c r="I22" s="71">
        <f t="shared" si="22"/>
        <v>-32.658047825807479</v>
      </c>
      <c r="J22" s="71">
        <f t="shared" si="22"/>
        <v>-25.971575124837521</v>
      </c>
      <c r="K22" s="71">
        <f t="shared" si="22"/>
        <v>359.85437497015636</v>
      </c>
    </row>
    <row r="23" spans="1:13" x14ac:dyDescent="0.25">
      <c r="A23" s="152">
        <f t="shared" si="15"/>
        <v>0.47954995554899532</v>
      </c>
      <c r="B23" s="152">
        <f t="shared" si="16"/>
        <v>2.8095527673920699</v>
      </c>
      <c r="C23" s="156">
        <f t="shared" si="18"/>
        <v>1.0694534967803084</v>
      </c>
      <c r="D23" s="156">
        <f t="shared" si="19"/>
        <v>0.80638118819880855</v>
      </c>
      <c r="E23" s="47" t="s">
        <v>295</v>
      </c>
      <c r="F23" s="71">
        <f>F27/F31</f>
        <v>0.90596818410208779</v>
      </c>
      <c r="G23" s="71">
        <f t="shared" ref="G23:K23" si="23">G27/G31</f>
        <v>0.60888769724108105</v>
      </c>
      <c r="H23" s="71">
        <f t="shared" si="23"/>
        <v>0.47954995554899532</v>
      </c>
      <c r="I23" s="71">
        <f t="shared" si="23"/>
        <v>0.88173052814371389</v>
      </c>
      <c r="J23" s="71">
        <f t="shared" si="23"/>
        <v>2.8095527673920699</v>
      </c>
      <c r="K23" s="71">
        <f t="shared" si="23"/>
        <v>0.73103184825390333</v>
      </c>
    </row>
    <row r="24" spans="1:13" x14ac:dyDescent="0.25">
      <c r="A24" s="152">
        <f t="shared" si="15"/>
        <v>0.63111811700999909</v>
      </c>
      <c r="B24" s="152">
        <f t="shared" si="16"/>
        <v>33.113167627996702</v>
      </c>
      <c r="C24" s="156">
        <f t="shared" si="18"/>
        <v>12.986823811805273</v>
      </c>
      <c r="D24" s="156">
        <f t="shared" si="19"/>
        <v>5.9346266871009403</v>
      </c>
      <c r="E24" s="121" t="s">
        <v>369</v>
      </c>
      <c r="F24" s="71">
        <f>F27/F32</f>
        <v>1.2564736020361733</v>
      </c>
      <c r="G24" s="71">
        <f t="shared" ref="G24:K24" si="24">G27/G32</f>
        <v>0.74252094902875565</v>
      </c>
      <c r="H24" s="71">
        <f t="shared" si="24"/>
        <v>0.63111811700999909</v>
      </c>
      <c r="I24" s="71">
        <f t="shared" si="24"/>
        <v>33.113167627996702</v>
      </c>
      <c r="J24" s="71">
        <f t="shared" si="24"/>
        <v>31.564882802594294</v>
      </c>
      <c r="K24" s="71">
        <f t="shared" si="24"/>
        <v>10.612779772165707</v>
      </c>
    </row>
    <row r="25" spans="1:13" ht="13.8" thickBot="1" x14ac:dyDescent="0.3">
      <c r="A25" s="152">
        <f t="shared" si="15"/>
        <v>0.78511211495129207</v>
      </c>
      <c r="B25" s="152">
        <f t="shared" si="16"/>
        <v>3.3832288353330373</v>
      </c>
      <c r="C25" s="156">
        <f t="shared" si="18"/>
        <v>2.2337883899760711</v>
      </c>
      <c r="D25" s="156">
        <f t="shared" si="19"/>
        <v>2.5404351943181109</v>
      </c>
      <c r="E25" s="49" t="s">
        <v>296</v>
      </c>
      <c r="F25" s="73">
        <f>F27/F33</f>
        <v>3.2476676518107048</v>
      </c>
      <c r="G25" s="73">
        <f t="shared" ref="G25:K25" si="25">G27/G33</f>
        <v>3.3832288353330373</v>
      </c>
      <c r="H25" s="73">
        <f t="shared" si="25"/>
        <v>1.9968089738700086</v>
      </c>
      <c r="I25" s="73">
        <f t="shared" si="25"/>
        <v>0.90585134912516929</v>
      </c>
      <c r="J25" s="73">
        <f t="shared" si="25"/>
        <v>3.0840614147662131</v>
      </c>
      <c r="K25" s="73">
        <f t="shared" si="25"/>
        <v>0.78511211495129207</v>
      </c>
    </row>
    <row r="26" spans="1:13" x14ac:dyDescent="0.25">
      <c r="C26" s="155"/>
      <c r="D26" s="156"/>
    </row>
    <row r="27" spans="1:13" x14ac:dyDescent="0.25">
      <c r="E27" s="43" t="s">
        <v>304</v>
      </c>
      <c r="F27" s="76">
        <f>F228</f>
        <v>4186164.49</v>
      </c>
      <c r="G27" s="76">
        <f t="shared" ref="G27:K27" si="26">G228</f>
        <v>2727587.54</v>
      </c>
      <c r="H27" s="76">
        <f t="shared" si="26"/>
        <v>2370557.66</v>
      </c>
      <c r="I27" s="76">
        <f t="shared" si="26"/>
        <v>2249211.58</v>
      </c>
      <c r="J27" s="76">
        <f t="shared" si="26"/>
        <v>1840970.97</v>
      </c>
      <c r="K27" s="76">
        <f t="shared" si="26"/>
        <v>1358119.55</v>
      </c>
    </row>
    <row r="28" spans="1:13" x14ac:dyDescent="0.25">
      <c r="E28" s="43" t="s">
        <v>305</v>
      </c>
      <c r="F28" s="76">
        <f>F133</f>
        <v>458133.58</v>
      </c>
      <c r="G28" s="76">
        <f t="shared" ref="G28:K28" si="27">G133</f>
        <v>243267.54</v>
      </c>
      <c r="H28" s="76">
        <f t="shared" si="27"/>
        <v>449712.29</v>
      </c>
      <c r="I28" s="76">
        <f t="shared" si="27"/>
        <v>168731.06</v>
      </c>
      <c r="J28" s="76">
        <f t="shared" si="27"/>
        <v>131599.84</v>
      </c>
      <c r="K28" s="76">
        <f t="shared" si="27"/>
        <v>1338973.32</v>
      </c>
    </row>
    <row r="29" spans="1:13" x14ac:dyDescent="0.25">
      <c r="E29" s="43" t="s">
        <v>306</v>
      </c>
      <c r="F29" s="76">
        <f>F127</f>
        <v>48</v>
      </c>
      <c r="G29" s="76">
        <f t="shared" ref="G29:K29" si="28">G127</f>
        <v>84048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3" x14ac:dyDescent="0.25">
      <c r="E30" s="43" t="s">
        <v>307</v>
      </c>
      <c r="F30" s="76">
        <f>F202</f>
        <v>637473.26</v>
      </c>
      <c r="G30" s="76">
        <f t="shared" ref="G30:K30" si="29">G202</f>
        <v>421947.57</v>
      </c>
      <c r="H30" s="76">
        <f t="shared" si="29"/>
        <v>308690.96000000002</v>
      </c>
      <c r="I30" s="76">
        <f t="shared" si="29"/>
        <v>369977.25</v>
      </c>
      <c r="J30" s="76">
        <f t="shared" si="29"/>
        <v>262594.13</v>
      </c>
      <c r="K30" s="76">
        <f t="shared" si="29"/>
        <v>0</v>
      </c>
    </row>
    <row r="31" spans="1:13" x14ac:dyDescent="0.25">
      <c r="E31" s="43" t="s">
        <v>303</v>
      </c>
      <c r="F31" s="76">
        <f>F171</f>
        <v>4620652.87</v>
      </c>
      <c r="G31" s="76">
        <f t="shared" ref="G31:K31" si="30">G171</f>
        <v>4479623.34</v>
      </c>
      <c r="H31" s="76">
        <f t="shared" si="30"/>
        <v>4943296.59</v>
      </c>
      <c r="I31" s="76">
        <f t="shared" si="30"/>
        <v>2550905.87</v>
      </c>
      <c r="J31" s="76">
        <f t="shared" si="30"/>
        <v>655254.1</v>
      </c>
      <c r="K31" s="76">
        <f t="shared" si="30"/>
        <v>1857811.74</v>
      </c>
    </row>
    <row r="32" spans="1:13" x14ac:dyDescent="0.25">
      <c r="E32" s="43" t="s">
        <v>308</v>
      </c>
      <c r="F32" s="76">
        <f>F84</f>
        <v>3331677.23</v>
      </c>
      <c r="G32" s="76">
        <f t="shared" ref="G32:K32" si="31">G84</f>
        <v>3673414.93</v>
      </c>
      <c r="H32" s="76">
        <f t="shared" si="31"/>
        <v>3756123.61</v>
      </c>
      <c r="I32" s="76">
        <f t="shared" si="31"/>
        <v>67924.990000000005</v>
      </c>
      <c r="J32" s="76">
        <f t="shared" si="31"/>
        <v>58323.39</v>
      </c>
      <c r="K32" s="76">
        <f t="shared" si="31"/>
        <v>127970.2</v>
      </c>
    </row>
    <row r="33" spans="1:14" x14ac:dyDescent="0.25">
      <c r="E33" s="43" t="s">
        <v>309</v>
      </c>
      <c r="F33" s="76">
        <f>F126</f>
        <v>1288975.6399999999</v>
      </c>
      <c r="G33" s="76">
        <f t="shared" ref="G33:K33" si="32">G126</f>
        <v>806208.41</v>
      </c>
      <c r="H33" s="76">
        <f t="shared" si="32"/>
        <v>1187172.98</v>
      </c>
      <c r="I33" s="76">
        <f t="shared" si="32"/>
        <v>2482980.88</v>
      </c>
      <c r="J33" s="76">
        <f t="shared" si="32"/>
        <v>596930.71</v>
      </c>
      <c r="K33" s="76">
        <f t="shared" si="32"/>
        <v>1729841.54</v>
      </c>
    </row>
    <row r="35" spans="1:14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4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4" x14ac:dyDescent="0.25">
      <c r="A37" s="139">
        <f t="shared" ref="A37:A41" si="33">MIN(F37:K37)</f>
        <v>0</v>
      </c>
      <c r="B37" s="139">
        <f t="shared" ref="B37:B41" si="34">MAX(F37:K37)</f>
        <v>0.44399175831177551</v>
      </c>
      <c r="C37" s="160">
        <f t="shared" ref="C37:C40" si="35">AVERAGE(F37:K37)</f>
        <v>0.24284553504927398</v>
      </c>
      <c r="D37" s="160">
        <f t="shared" ref="D37:D40" si="36">MEDIAN(F37:K37)</f>
        <v>0.22753991801393336</v>
      </c>
      <c r="E37" s="126" t="s">
        <v>370</v>
      </c>
      <c r="F37" s="147">
        <f>F43/F44*100%</f>
        <v>0.23215779678337967</v>
      </c>
      <c r="G37" s="146">
        <f t="shared" ref="G37:K37" si="37">G43/G44*100%</f>
        <v>0.22292203924448703</v>
      </c>
      <c r="H37" s="146">
        <f t="shared" si="37"/>
        <v>0.21368844065251608</v>
      </c>
      <c r="I37" s="146">
        <f t="shared" si="37"/>
        <v>0.34431317530348543</v>
      </c>
      <c r="J37" s="146">
        <f t="shared" si="37"/>
        <v>0.44399175831177551</v>
      </c>
      <c r="K37" s="158">
        <f t="shared" si="37"/>
        <v>0</v>
      </c>
      <c r="N37" s="153"/>
    </row>
    <row r="38" spans="1:14" x14ac:dyDescent="0.25">
      <c r="A38" s="139">
        <f t="shared" si="33"/>
        <v>0.85560544172592368</v>
      </c>
      <c r="B38" s="139">
        <f t="shared" si="34"/>
        <v>4.8023154286877805</v>
      </c>
      <c r="C38" s="155">
        <f t="shared" si="35"/>
        <v>3.0971211891566646</v>
      </c>
      <c r="D38" s="156">
        <f t="shared" si="36"/>
        <v>2.8715158119053568</v>
      </c>
      <c r="E38" s="127" t="s">
        <v>298</v>
      </c>
      <c r="F38" s="154">
        <f>F43/F45</f>
        <v>2.4573275519247377</v>
      </c>
      <c r="G38" s="71">
        <f t="shared" ref="G38:J38" si="38">G43/G45</f>
        <v>4.4988417115395229</v>
      </c>
      <c r="H38" s="71">
        <f t="shared" si="38"/>
        <v>2.8715158119053568</v>
      </c>
      <c r="I38" s="71">
        <f t="shared" si="38"/>
        <v>4.8023154286877805</v>
      </c>
      <c r="J38" s="71">
        <f t="shared" si="38"/>
        <v>0.85560544172592368</v>
      </c>
      <c r="K38" s="164"/>
    </row>
    <row r="39" spans="1:14" x14ac:dyDescent="0.25">
      <c r="A39" s="139">
        <f t="shared" si="33"/>
        <v>1.9270750542290671</v>
      </c>
      <c r="B39" s="139">
        <f t="shared" si="34"/>
        <v>20.181233433835015</v>
      </c>
      <c r="C39" s="155">
        <f t="shared" si="35"/>
        <v>12.015684400285384</v>
      </c>
      <c r="D39" s="156">
        <f t="shared" si="36"/>
        <v>13.437862165763088</v>
      </c>
      <c r="E39" s="127" t="s">
        <v>299</v>
      </c>
      <c r="F39" s="154">
        <f>F44/F45</f>
        <v>10.584729808655124</v>
      </c>
      <c r="G39" s="71">
        <f t="shared" ref="G39:J39" si="39">G44/G45</f>
        <v>20.181233433835015</v>
      </c>
      <c r="H39" s="71">
        <f t="shared" si="39"/>
        <v>13.437862165763088</v>
      </c>
      <c r="I39" s="71">
        <f t="shared" si="39"/>
        <v>13.947521538944629</v>
      </c>
      <c r="J39" s="71">
        <f t="shared" si="39"/>
        <v>1.9270750542290671</v>
      </c>
      <c r="K39" s="164"/>
    </row>
    <row r="40" spans="1:14" ht="26.4" x14ac:dyDescent="0.25">
      <c r="A40" s="139">
        <f t="shared" si="33"/>
        <v>0</v>
      </c>
      <c r="B40" s="139">
        <f t="shared" si="34"/>
        <v>0.19927558126635225</v>
      </c>
      <c r="C40" s="160">
        <f t="shared" si="35"/>
        <v>0.10278054403740983</v>
      </c>
      <c r="D40" s="160">
        <f t="shared" si="36"/>
        <v>0.11146273102299878</v>
      </c>
      <c r="E40" s="128" t="s">
        <v>371</v>
      </c>
      <c r="F40" s="147">
        <f>F46/F44*100%</f>
        <v>9.4196067578649331E-2</v>
      </c>
      <c r="G40" s="147">
        <f t="shared" ref="G40:K40" si="40">G46/G44*100%</f>
        <v>0.12872939446734821</v>
      </c>
      <c r="H40" s="147">
        <f t="shared" si="40"/>
        <v>0.15124206415460092</v>
      </c>
      <c r="I40" s="147">
        <f t="shared" si="40"/>
        <v>0.19927558126635225</v>
      </c>
      <c r="J40" s="147">
        <f t="shared" si="40"/>
        <v>4.3240156757508273E-2</v>
      </c>
      <c r="K40" s="159">
        <f t="shared" si="40"/>
        <v>0</v>
      </c>
    </row>
    <row r="41" spans="1:14" ht="13.8" thickBot="1" x14ac:dyDescent="0.3">
      <c r="A41" s="139">
        <f t="shared" si="33"/>
        <v>0</v>
      </c>
      <c r="B41" s="139">
        <f t="shared" si="34"/>
        <v>0</v>
      </c>
      <c r="C41" s="155" t="e">
        <f t="shared" ref="C41" si="41">AVERAGE(F41:K41)</f>
        <v>#DIV/0!</v>
      </c>
      <c r="D41" s="156" t="e">
        <f t="shared" ref="D41" si="42">MEDIAN(F41:K41)</f>
        <v>#NUM!</v>
      </c>
      <c r="E41" s="129" t="s">
        <v>300</v>
      </c>
      <c r="F41" s="165"/>
      <c r="G41" s="163"/>
      <c r="H41" s="163"/>
      <c r="I41" s="163"/>
      <c r="J41" s="163"/>
      <c r="K41" s="166"/>
    </row>
    <row r="43" spans="1:14" x14ac:dyDescent="0.25">
      <c r="E43" s="43" t="s">
        <v>318</v>
      </c>
      <c r="F43" s="76">
        <f>F193+F202</f>
        <v>1072720.5900000001</v>
      </c>
      <c r="G43" s="76">
        <f t="shared" ref="G43:K43" si="43">G193+G202</f>
        <v>998606.77</v>
      </c>
      <c r="H43" s="76">
        <f t="shared" si="43"/>
        <v>1056325.3400000001</v>
      </c>
      <c r="I43" s="76">
        <f t="shared" si="43"/>
        <v>878310.5</v>
      </c>
      <c r="J43" s="76">
        <f t="shared" si="43"/>
        <v>290927.42</v>
      </c>
      <c r="K43" s="76">
        <f t="shared" si="43"/>
        <v>0</v>
      </c>
    </row>
    <row r="44" spans="1:14" x14ac:dyDescent="0.25">
      <c r="E44" s="43" t="s">
        <v>303</v>
      </c>
      <c r="F44" s="76">
        <f>F171</f>
        <v>4620652.87</v>
      </c>
      <c r="G44" s="76">
        <f t="shared" ref="G44:K45" si="44">G171</f>
        <v>4479623.34</v>
      </c>
      <c r="H44" s="76">
        <f t="shared" si="44"/>
        <v>4943296.59</v>
      </c>
      <c r="I44" s="76">
        <f t="shared" si="44"/>
        <v>2550905.87</v>
      </c>
      <c r="J44" s="76">
        <f t="shared" si="44"/>
        <v>655254.1</v>
      </c>
      <c r="K44" s="76">
        <f t="shared" si="44"/>
        <v>1857811.74</v>
      </c>
    </row>
    <row r="45" spans="1:14" x14ac:dyDescent="0.25">
      <c r="E45" s="43" t="s">
        <v>311</v>
      </c>
      <c r="F45" s="76">
        <f>F172</f>
        <v>436539.52</v>
      </c>
      <c r="G45" s="76">
        <f t="shared" si="44"/>
        <v>221969.75</v>
      </c>
      <c r="H45" s="76">
        <f t="shared" si="44"/>
        <v>367863.32</v>
      </c>
      <c r="I45" s="76">
        <f t="shared" si="44"/>
        <v>182893.13</v>
      </c>
      <c r="J45" s="76">
        <f t="shared" si="44"/>
        <v>340025.21</v>
      </c>
      <c r="K45" s="76">
        <f t="shared" si="44"/>
        <v>0</v>
      </c>
    </row>
    <row r="46" spans="1:14" x14ac:dyDescent="0.25">
      <c r="E46" s="43" t="s">
        <v>312</v>
      </c>
      <c r="F46" s="76">
        <f>F193</f>
        <v>435247.33</v>
      </c>
      <c r="G46" s="76">
        <f t="shared" ref="G46:K46" si="45">G193</f>
        <v>576659.19999999995</v>
      </c>
      <c r="H46" s="76">
        <f t="shared" si="45"/>
        <v>747634.38</v>
      </c>
      <c r="I46" s="76">
        <f t="shared" si="45"/>
        <v>508333.25</v>
      </c>
      <c r="J46" s="76">
        <f t="shared" si="45"/>
        <v>28333.29</v>
      </c>
      <c r="K46" s="76">
        <f t="shared" si="45"/>
        <v>0</v>
      </c>
    </row>
    <row r="47" spans="1:14" x14ac:dyDescent="0.25">
      <c r="E47" s="43" t="s">
        <v>313</v>
      </c>
      <c r="F47" s="76">
        <f>F275</f>
        <v>244757.29</v>
      </c>
      <c r="G47" s="76">
        <f t="shared" ref="G47:K47" si="46">G275</f>
        <v>-144163.57</v>
      </c>
      <c r="H47" s="76">
        <f t="shared" si="46"/>
        <v>92973.21</v>
      </c>
      <c r="I47" s="76">
        <f t="shared" si="46"/>
        <v>-117345.65</v>
      </c>
      <c r="J47" s="76">
        <f t="shared" si="46"/>
        <v>19324.93</v>
      </c>
      <c r="K47" s="76">
        <f t="shared" si="46"/>
        <v>43897.4</v>
      </c>
    </row>
    <row r="48" spans="1:14" x14ac:dyDescent="0.25">
      <c r="E48" s="43" t="s">
        <v>314</v>
      </c>
      <c r="F48" s="76">
        <f>F269</f>
        <v>0</v>
      </c>
      <c r="G48" s="76">
        <f t="shared" ref="G48:K48" si="47">G269</f>
        <v>0</v>
      </c>
      <c r="H48" s="76">
        <f t="shared" si="47"/>
        <v>0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-4.0665567400028281E-2</v>
      </c>
      <c r="B52" s="139">
        <f t="shared" ref="B52:B63" si="49">MAX(F52:K52)</f>
        <v>2.9615913386456531E-2</v>
      </c>
      <c r="C52" s="160">
        <f t="shared" ref="C52:C63" si="50">AVERAGE(F52:K52)</f>
        <v>2.7783732656304302E-3</v>
      </c>
      <c r="D52" s="160">
        <f t="shared" ref="D52:D63" si="51">MEDIAN(F52:K52)</f>
        <v>1.5817766553545061E-2</v>
      </c>
      <c r="E52" s="127" t="s">
        <v>350</v>
      </c>
      <c r="F52" s="131">
        <f t="shared" ref="F52:K52" si="52">(F65/(F70+F71))*100%</f>
        <v>2.9615913386456531E-2</v>
      </c>
      <c r="G52" s="124">
        <f t="shared" si="52"/>
        <v>-2.9024170044206529E-2</v>
      </c>
      <c r="H52" s="124">
        <f t="shared" si="52"/>
        <v>2.510853054447074E-2</v>
      </c>
      <c r="I52" s="124">
        <f t="shared" si="52"/>
        <v>-4.0665567400028281E-2</v>
      </c>
      <c r="J52" s="124">
        <f t="shared" si="52"/>
        <v>1.0280859639790804E-2</v>
      </c>
      <c r="K52" s="132">
        <f t="shared" si="52"/>
        <v>2.1354673467299318E-2</v>
      </c>
    </row>
    <row r="53" spans="1:11" x14ac:dyDescent="0.25">
      <c r="A53" s="139">
        <f t="shared" si="48"/>
        <v>-0.47727366858094333</v>
      </c>
      <c r="B53" s="139">
        <f t="shared" si="49"/>
        <v>-1.6881858929345763E-2</v>
      </c>
      <c r="C53" s="160">
        <f t="shared" si="50"/>
        <v>-0.13965813784903114</v>
      </c>
      <c r="D53" s="160">
        <f t="shared" si="51"/>
        <v>-7.8573725732129007E-2</v>
      </c>
      <c r="E53" s="127" t="s">
        <v>351</v>
      </c>
      <c r="F53" s="131">
        <f>(F66/F70)*100%</f>
        <v>-9.3854064009797178E-2</v>
      </c>
      <c r="G53" s="124">
        <f t="shared" ref="G53:K53" si="53">(G66/G70)*100%</f>
        <v>-0.14126617545701209</v>
      </c>
      <c r="H53" s="124">
        <f t="shared" si="53"/>
        <v>-1.6881858929345763E-2</v>
      </c>
      <c r="I53" s="124">
        <f t="shared" si="53"/>
        <v>-6.3293387454460823E-2</v>
      </c>
      <c r="J53" s="124">
        <f t="shared" si="53"/>
        <v>-4.5379672662627595E-2</v>
      </c>
      <c r="K53" s="132">
        <f t="shared" si="53"/>
        <v>-0.47727366858094333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-4.0755761315661825E-2</v>
      </c>
      <c r="B58" s="139">
        <f t="shared" si="49"/>
        <v>2.9436925373152279E-2</v>
      </c>
      <c r="C58" s="155">
        <f t="shared" si="50"/>
        <v>2.4827513651379724E-3</v>
      </c>
      <c r="D58" s="156">
        <f t="shared" si="51"/>
        <v>1.5344901846041302E-2</v>
      </c>
      <c r="E58" s="127" t="s">
        <v>356</v>
      </c>
      <c r="F58" s="133">
        <f>F68/(F70+F71+F72+F73+F74+F75)</f>
        <v>2.9436925373152279E-2</v>
      </c>
      <c r="G58" s="122">
        <f t="shared" ref="G58:K58" si="54">G68/(G70+G71+G72+G73+G74)</f>
        <v>-2.9386341207679613E-2</v>
      </c>
      <c r="H58" s="122">
        <f t="shared" si="54"/>
        <v>2.4911881648934389E-2</v>
      </c>
      <c r="I58" s="122">
        <f t="shared" si="54"/>
        <v>-4.0755761315661825E-2</v>
      </c>
      <c r="J58" s="122">
        <f t="shared" si="54"/>
        <v>9.4361804851521985E-3</v>
      </c>
      <c r="K58" s="134">
        <f t="shared" si="54"/>
        <v>2.1253623206930406E-2</v>
      </c>
    </row>
    <row r="59" spans="1:11" x14ac:dyDescent="0.25">
      <c r="A59" s="139">
        <f t="shared" si="48"/>
        <v>-4.0755761315661825E-2</v>
      </c>
      <c r="B59" s="139">
        <f t="shared" si="49"/>
        <v>2.5584561438956731E-2</v>
      </c>
      <c r="C59" s="155">
        <f t="shared" si="50"/>
        <v>-1.842087842552849E-3</v>
      </c>
      <c r="D59" s="156">
        <f t="shared" si="51"/>
        <v>5.1414423658967586E-3</v>
      </c>
      <c r="E59" s="127" t="s">
        <v>361</v>
      </c>
      <c r="F59" s="133">
        <f>F69/(F70+F71+F72+F73+F74+F75)</f>
        <v>2.5584561438956731E-2</v>
      </c>
      <c r="G59" s="122">
        <f t="shared" ref="G59:K59" si="55">G69/(G70+G71+G72+G73+G74+G75)</f>
        <v>-2.9510479932847677E-2</v>
      </c>
      <c r="H59" s="122">
        <f t="shared" si="55"/>
        <v>2.3346268022442159E-2</v>
      </c>
      <c r="I59" s="122">
        <f t="shared" si="55"/>
        <v>-4.0755761315661825E-2</v>
      </c>
      <c r="J59" s="122">
        <f t="shared" si="55"/>
        <v>7.9136905846607323E-3</v>
      </c>
      <c r="K59" s="134">
        <f t="shared" si="55"/>
        <v>2.3691941471327858E-3</v>
      </c>
    </row>
    <row r="60" spans="1:11" ht="26.4" x14ac:dyDescent="0.25">
      <c r="A60" s="139">
        <f t="shared" si="48"/>
        <v>-4.5899757171361244E-2</v>
      </c>
      <c r="B60" s="139">
        <f t="shared" si="49"/>
        <v>5.3292362990254236E-2</v>
      </c>
      <c r="C60" s="160">
        <f t="shared" si="50"/>
        <v>8.4061203364773022E-3</v>
      </c>
      <c r="D60" s="160">
        <f t="shared" si="51"/>
        <v>2.1348647838223843E-2</v>
      </c>
      <c r="E60" s="127" t="s">
        <v>372</v>
      </c>
      <c r="F60" s="131">
        <f>F65/F79*100%</f>
        <v>5.3292362990254236E-2</v>
      </c>
      <c r="G60" s="124">
        <f t="shared" ref="G60:K60" si="56">G65/G79*100%</f>
        <v>-3.1785446943403059E-2</v>
      </c>
      <c r="H60" s="124">
        <f t="shared" si="56"/>
        <v>1.8956402532990642E-2</v>
      </c>
      <c r="I60" s="124">
        <f t="shared" si="56"/>
        <v>-4.5899757171361244E-2</v>
      </c>
      <c r="J60" s="124">
        <f t="shared" si="56"/>
        <v>3.2132267466926191E-2</v>
      </c>
      <c r="K60" s="132">
        <f t="shared" si="56"/>
        <v>2.3740893143457044E-2</v>
      </c>
    </row>
    <row r="61" spans="1:11" x14ac:dyDescent="0.25">
      <c r="A61" s="139">
        <f t="shared" si="48"/>
        <v>-4.600156022221235E-2</v>
      </c>
      <c r="B61" s="139">
        <f t="shared" si="49"/>
        <v>4.6038145687408022E-2</v>
      </c>
      <c r="C61" s="155">
        <f t="shared" si="50"/>
        <v>2.1187104972874328E-3</v>
      </c>
      <c r="D61" s="156">
        <f t="shared" si="51"/>
        <v>1.0129945558079599E-2</v>
      </c>
      <c r="E61" s="127" t="s">
        <v>373</v>
      </c>
      <c r="F61" s="133">
        <f>F69/F79</f>
        <v>4.6038145687408022E-2</v>
      </c>
      <c r="G61" s="122">
        <f t="shared" ref="G61:K61" si="57">G69/G79</f>
        <v>-3.2318022970208027E-2</v>
      </c>
      <c r="H61" s="122">
        <f t="shared" si="57"/>
        <v>1.7625932090795306E-2</v>
      </c>
      <c r="I61" s="122">
        <f t="shared" si="57"/>
        <v>-4.600156022221235E-2</v>
      </c>
      <c r="J61" s="122">
        <f t="shared" si="57"/>
        <v>2.4733809372577752E-2</v>
      </c>
      <c r="K61" s="134">
        <f t="shared" si="57"/>
        <v>2.6339590253638937E-3</v>
      </c>
    </row>
    <row r="62" spans="1:11" ht="26.4" x14ac:dyDescent="0.25">
      <c r="A62" s="139">
        <f t="shared" si="48"/>
        <v>-1.7358935620732103</v>
      </c>
      <c r="B62" s="139">
        <f t="shared" si="49"/>
        <v>0.48730133299271505</v>
      </c>
      <c r="C62" s="155">
        <f t="shared" si="50"/>
        <v>-0.47629116226108759</v>
      </c>
      <c r="D62" s="156">
        <f t="shared" si="51"/>
        <v>-0.24569548828453042</v>
      </c>
      <c r="E62" s="127" t="s">
        <v>374</v>
      </c>
      <c r="F62" s="133">
        <f>F69/F80</f>
        <v>0.48730133299271505</v>
      </c>
      <c r="G62" s="122">
        <f>G66/G80</f>
        <v>-1.7358935620732103</v>
      </c>
      <c r="H62" s="122">
        <f>H66/H80</f>
        <v>-0.10878882950330573</v>
      </c>
      <c r="I62" s="122">
        <f>I66/I80</f>
        <v>-0.77837926443710592</v>
      </c>
      <c r="J62" s="122">
        <f>J66/J80</f>
        <v>-0.24569548828453042</v>
      </c>
      <c r="K62" s="134"/>
    </row>
    <row r="63" spans="1:11" ht="13.8" thickBot="1" x14ac:dyDescent="0.3">
      <c r="A63" s="139">
        <f t="shared" si="48"/>
        <v>-0.17828909157375272</v>
      </c>
      <c r="B63" s="139">
        <f t="shared" si="49"/>
        <v>0.28222670235116376</v>
      </c>
      <c r="C63" s="155">
        <f t="shared" si="50"/>
        <v>2.1719138764185391E-2</v>
      </c>
      <c r="D63" s="156">
        <f t="shared" si="51"/>
        <v>5.7158447544986744E-2</v>
      </c>
      <c r="E63" s="129" t="s">
        <v>302</v>
      </c>
      <c r="F63" s="135">
        <f t="shared" ref="F63:J63" si="58">F65/(F80+F81)</f>
        <v>0.28222670235116376</v>
      </c>
      <c r="G63" s="123">
        <f t="shared" si="58"/>
        <v>-0.17828909157375272</v>
      </c>
      <c r="H63" s="123">
        <f t="shared" si="58"/>
        <v>8.4004763075710503E-2</v>
      </c>
      <c r="I63" s="123">
        <f t="shared" si="58"/>
        <v>-0.13650512757718133</v>
      </c>
      <c r="J63" s="123">
        <f t="shared" si="58"/>
        <v>5.7158447544986744E-2</v>
      </c>
      <c r="K63" s="167"/>
    </row>
    <row r="65" spans="5:12" x14ac:dyDescent="0.25">
      <c r="E65" s="52" t="s">
        <v>360</v>
      </c>
      <c r="F65" s="76">
        <f>F255</f>
        <v>246245.51</v>
      </c>
      <c r="G65" s="76">
        <f t="shared" ref="G65:K65" si="59">G255</f>
        <v>-142386.82999999999</v>
      </c>
      <c r="H65" s="76">
        <f t="shared" si="59"/>
        <v>93707.12</v>
      </c>
      <c r="I65" s="76">
        <f t="shared" si="59"/>
        <v>-117085.96</v>
      </c>
      <c r="J65" s="76">
        <f t="shared" si="59"/>
        <v>21054.799999999999</v>
      </c>
      <c r="K65" s="76">
        <f t="shared" si="59"/>
        <v>44106.11</v>
      </c>
    </row>
    <row r="66" spans="5:12" ht="26.4" x14ac:dyDescent="0.25">
      <c r="E66" s="52" t="s">
        <v>352</v>
      </c>
      <c r="F66" s="76">
        <f>F245</f>
        <v>-392888.55</v>
      </c>
      <c r="G66" s="76">
        <f t="shared" ref="G66:K66" si="60">G245</f>
        <v>-385315.86</v>
      </c>
      <c r="H66" s="76">
        <f t="shared" si="60"/>
        <v>-40019.42</v>
      </c>
      <c r="I66" s="76">
        <f t="shared" si="60"/>
        <v>-142360.22</v>
      </c>
      <c r="J66" s="76">
        <f t="shared" si="60"/>
        <v>-83542.66</v>
      </c>
      <c r="K66" s="76">
        <f t="shared" si="60"/>
        <v>-648194.69999999995</v>
      </c>
    </row>
    <row r="67" spans="5:12" x14ac:dyDescent="0.25">
      <c r="E67" s="43" t="s">
        <v>345</v>
      </c>
      <c r="L67" s="43" t="s">
        <v>379</v>
      </c>
    </row>
    <row r="68" spans="5:12" x14ac:dyDescent="0.25">
      <c r="E68" s="43" t="s">
        <v>341</v>
      </c>
      <c r="F68" s="76">
        <f>F275</f>
        <v>244757.29</v>
      </c>
      <c r="G68" s="76">
        <f t="shared" ref="G68:K68" si="61">G275</f>
        <v>-144163.57</v>
      </c>
      <c r="H68" s="76">
        <f t="shared" si="61"/>
        <v>92973.21</v>
      </c>
      <c r="I68" s="76">
        <f t="shared" si="61"/>
        <v>-117345.65</v>
      </c>
      <c r="J68" s="76">
        <f t="shared" si="61"/>
        <v>19324.93</v>
      </c>
      <c r="K68" s="76">
        <f t="shared" si="61"/>
        <v>43897.4</v>
      </c>
    </row>
    <row r="69" spans="5:12" x14ac:dyDescent="0.25">
      <c r="E69" s="43" t="s">
        <v>315</v>
      </c>
      <c r="F69" s="76">
        <f>F278</f>
        <v>212726.29</v>
      </c>
      <c r="G69" s="76">
        <f t="shared" ref="G69:K69" si="62">G278</f>
        <v>-144772.57</v>
      </c>
      <c r="H69" s="76">
        <f t="shared" si="62"/>
        <v>87130.21</v>
      </c>
      <c r="I69" s="76">
        <f t="shared" si="62"/>
        <v>-117345.65</v>
      </c>
      <c r="J69" s="76">
        <f t="shared" si="62"/>
        <v>16206.93</v>
      </c>
      <c r="K69" s="76">
        <f t="shared" si="62"/>
        <v>4893.3999999999996</v>
      </c>
    </row>
    <row r="70" spans="5:12" x14ac:dyDescent="0.25">
      <c r="E70" s="43" t="s">
        <v>358</v>
      </c>
      <c r="F70" s="76">
        <f>F228</f>
        <v>4186164.49</v>
      </c>
      <c r="G70" s="76">
        <f t="shared" ref="G70:K70" si="63">G228</f>
        <v>2727587.54</v>
      </c>
      <c r="H70" s="76">
        <f t="shared" si="63"/>
        <v>2370557.66</v>
      </c>
      <c r="I70" s="76">
        <f t="shared" si="63"/>
        <v>2249211.58</v>
      </c>
      <c r="J70" s="76">
        <f t="shared" si="63"/>
        <v>1840970.97</v>
      </c>
      <c r="K70" s="76">
        <f t="shared" si="63"/>
        <v>1358119.55</v>
      </c>
    </row>
    <row r="71" spans="5:12" x14ac:dyDescent="0.25">
      <c r="E71" s="43" t="s">
        <v>359</v>
      </c>
      <c r="F71" s="76">
        <f>F246</f>
        <v>4128470.51</v>
      </c>
      <c r="G71" s="76">
        <f t="shared" ref="G71:K71" si="64">G246</f>
        <v>2178214.41</v>
      </c>
      <c r="H71" s="76">
        <f t="shared" si="64"/>
        <v>1361525.34</v>
      </c>
      <c r="I71" s="76">
        <f t="shared" si="64"/>
        <v>630029.19999999995</v>
      </c>
      <c r="J71" s="76">
        <f t="shared" si="64"/>
        <v>206990.07</v>
      </c>
      <c r="K71" s="76">
        <f t="shared" si="64"/>
        <v>707288.29</v>
      </c>
    </row>
    <row r="72" spans="5:12" x14ac:dyDescent="0.25">
      <c r="E72" s="43" t="s">
        <v>347</v>
      </c>
      <c r="L72" s="43" t="s">
        <v>379</v>
      </c>
    </row>
    <row r="73" spans="5:12" x14ac:dyDescent="0.25">
      <c r="E73" s="43" t="s">
        <v>348</v>
      </c>
      <c r="L73" s="43" t="s">
        <v>379</v>
      </c>
    </row>
    <row r="74" spans="5:12" x14ac:dyDescent="0.25">
      <c r="E74" s="43" t="s">
        <v>349</v>
      </c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20.190000000000001</v>
      </c>
    </row>
    <row r="76" spans="5:12" x14ac:dyDescent="0.25">
      <c r="E76" s="43" t="s">
        <v>353</v>
      </c>
      <c r="L76" s="43" t="s">
        <v>379</v>
      </c>
    </row>
    <row r="77" spans="5:12" x14ac:dyDescent="0.25">
      <c r="E77" s="43" t="s">
        <v>354</v>
      </c>
      <c r="L77" s="43" t="s">
        <v>379</v>
      </c>
    </row>
    <row r="78" spans="5:12" x14ac:dyDescent="0.25">
      <c r="E78" s="43" t="s">
        <v>355</v>
      </c>
      <c r="L78" s="43" t="s">
        <v>379</v>
      </c>
    </row>
    <row r="79" spans="5:12" x14ac:dyDescent="0.25">
      <c r="E79" s="43" t="s">
        <v>316</v>
      </c>
      <c r="F79" s="76">
        <f>F171</f>
        <v>4620652.87</v>
      </c>
      <c r="G79" s="76">
        <f t="shared" ref="G79:K80" si="66">G171</f>
        <v>4479623.34</v>
      </c>
      <c r="H79" s="76">
        <f t="shared" si="66"/>
        <v>4943296.59</v>
      </c>
      <c r="I79" s="76">
        <f t="shared" si="66"/>
        <v>2550905.87</v>
      </c>
      <c r="J79" s="76">
        <f t="shared" si="66"/>
        <v>655254.1</v>
      </c>
      <c r="K79" s="76">
        <f t="shared" si="66"/>
        <v>1857811.74</v>
      </c>
    </row>
    <row r="80" spans="5:12" x14ac:dyDescent="0.25">
      <c r="E80" s="43" t="s">
        <v>311</v>
      </c>
      <c r="F80" s="76">
        <f>F172</f>
        <v>436539.52</v>
      </c>
      <c r="G80" s="76">
        <f t="shared" si="66"/>
        <v>221969.75</v>
      </c>
      <c r="H80" s="76">
        <f t="shared" si="66"/>
        <v>367863.32</v>
      </c>
      <c r="I80" s="76">
        <f t="shared" si="66"/>
        <v>182893.13</v>
      </c>
      <c r="J80" s="76">
        <f t="shared" si="66"/>
        <v>340025.21</v>
      </c>
      <c r="K80" s="76">
        <f t="shared" si="66"/>
        <v>0</v>
      </c>
    </row>
    <row r="81" spans="5:13" x14ac:dyDescent="0.25">
      <c r="E81" s="43" t="s">
        <v>317</v>
      </c>
      <c r="F81" s="76">
        <f>F197+F210</f>
        <v>435970.09</v>
      </c>
      <c r="G81" s="76">
        <f t="shared" ref="G81:K81" si="67">G197+G210</f>
        <v>576659.19999999995</v>
      </c>
      <c r="H81" s="76">
        <f t="shared" si="67"/>
        <v>747634.38</v>
      </c>
      <c r="I81" s="76">
        <f t="shared" si="67"/>
        <v>674847.25</v>
      </c>
      <c r="J81" s="76">
        <f t="shared" si="67"/>
        <v>28333.29</v>
      </c>
      <c r="K81" s="76">
        <f t="shared" si="67"/>
        <v>0</v>
      </c>
    </row>
    <row r="83" spans="5:13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M83" s="94"/>
    </row>
    <row r="84" spans="5:13" x14ac:dyDescent="0.25">
      <c r="E84" s="95" t="s">
        <v>102</v>
      </c>
      <c r="F84" s="97">
        <v>3331677.23</v>
      </c>
      <c r="G84" s="97">
        <v>3673414.93</v>
      </c>
      <c r="H84" s="97">
        <v>3756123.61</v>
      </c>
      <c r="I84" s="97">
        <v>67924.990000000005</v>
      </c>
      <c r="J84" s="97">
        <v>58323.39</v>
      </c>
      <c r="K84" s="97">
        <v>127970.2</v>
      </c>
      <c r="M84" s="94"/>
    </row>
    <row r="85" spans="5:13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752</v>
      </c>
      <c r="K85" s="97">
        <v>752</v>
      </c>
      <c r="M85" s="94"/>
    </row>
    <row r="86" spans="5:13" x14ac:dyDescent="0.25">
      <c r="E86" s="43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>
        <v>0</v>
      </c>
      <c r="M86" s="94"/>
    </row>
    <row r="87" spans="5:13" x14ac:dyDescent="0.25">
      <c r="E87" s="43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  <c r="M87" s="94"/>
    </row>
    <row r="88" spans="5:13" x14ac:dyDescent="0.25">
      <c r="E88" s="43" t="s">
        <v>106</v>
      </c>
      <c r="F88" s="97">
        <v>0</v>
      </c>
      <c r="G88" s="97">
        <v>0</v>
      </c>
      <c r="H88" s="97">
        <v>0</v>
      </c>
      <c r="I88" s="97">
        <v>0</v>
      </c>
      <c r="J88" s="97">
        <v>752</v>
      </c>
      <c r="K88" s="97">
        <v>752</v>
      </c>
      <c r="M88" s="94"/>
    </row>
    <row r="89" spans="5:13" x14ac:dyDescent="0.25">
      <c r="E89" s="43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  <c r="M89" s="94"/>
    </row>
    <row r="90" spans="5:13" x14ac:dyDescent="0.25">
      <c r="E90" s="43" t="s">
        <v>108</v>
      </c>
      <c r="F90" s="97">
        <v>3304367.31</v>
      </c>
      <c r="G90" s="97">
        <v>3673414.93</v>
      </c>
      <c r="H90" s="97">
        <v>3756123.61</v>
      </c>
      <c r="I90" s="97">
        <v>67924.990000000005</v>
      </c>
      <c r="J90" s="97">
        <v>57571.39</v>
      </c>
      <c r="K90" s="97">
        <v>127218.2</v>
      </c>
      <c r="M90" s="94"/>
    </row>
    <row r="91" spans="5:13" x14ac:dyDescent="0.25">
      <c r="E91" s="43" t="s">
        <v>109</v>
      </c>
      <c r="F91" s="97">
        <v>3304367.31</v>
      </c>
      <c r="G91" s="97">
        <v>3673414.93</v>
      </c>
      <c r="H91" s="97">
        <v>3756123.61</v>
      </c>
      <c r="I91" s="97">
        <v>67924.990000000005</v>
      </c>
      <c r="J91" s="97">
        <v>57571.39</v>
      </c>
      <c r="K91" s="97">
        <v>127218.2</v>
      </c>
      <c r="M91" s="94"/>
    </row>
    <row r="92" spans="5:13" x14ac:dyDescent="0.25">
      <c r="E92" s="43" t="s">
        <v>110</v>
      </c>
      <c r="F92" s="97">
        <v>0</v>
      </c>
      <c r="G92" s="97">
        <v>0</v>
      </c>
      <c r="H92" s="97">
        <v>0</v>
      </c>
      <c r="I92" s="97">
        <v>0</v>
      </c>
      <c r="J92" s="97">
        <v>0</v>
      </c>
      <c r="K92" s="97">
        <v>0</v>
      </c>
      <c r="M92" s="94"/>
    </row>
    <row r="93" spans="5:13" x14ac:dyDescent="0.25">
      <c r="E93" s="43" t="s">
        <v>111</v>
      </c>
      <c r="F93" s="97">
        <v>2342365.52</v>
      </c>
      <c r="G93" s="97">
        <v>2690161.25</v>
      </c>
      <c r="H93" s="97">
        <v>2927956.34</v>
      </c>
      <c r="I93" s="97">
        <v>0</v>
      </c>
      <c r="J93" s="97">
        <v>0</v>
      </c>
      <c r="K93" s="97">
        <v>0</v>
      </c>
      <c r="M93" s="94"/>
    </row>
    <row r="94" spans="5:13" x14ac:dyDescent="0.25">
      <c r="E94" s="43" t="s">
        <v>112</v>
      </c>
      <c r="F94" s="97">
        <v>443466.17</v>
      </c>
      <c r="G94" s="97">
        <v>433314.56</v>
      </c>
      <c r="H94" s="97">
        <v>501845</v>
      </c>
      <c r="I94" s="97">
        <v>0</v>
      </c>
      <c r="J94" s="97">
        <v>0</v>
      </c>
      <c r="K94" s="97">
        <v>0</v>
      </c>
      <c r="M94" s="94"/>
    </row>
    <row r="95" spans="5:13" x14ac:dyDescent="0.25">
      <c r="E95" s="43" t="s">
        <v>113</v>
      </c>
      <c r="F95" s="97">
        <v>255146.09</v>
      </c>
      <c r="G95" s="97">
        <v>323532.75</v>
      </c>
      <c r="H95" s="97">
        <v>26899.06</v>
      </c>
      <c r="I95" s="97">
        <v>12924.99</v>
      </c>
      <c r="J95" s="97">
        <v>57571.39</v>
      </c>
      <c r="K95" s="97">
        <v>88987.81</v>
      </c>
      <c r="M95" s="94"/>
    </row>
    <row r="96" spans="5:13" x14ac:dyDescent="0.25">
      <c r="E96" s="43" t="s">
        <v>114</v>
      </c>
      <c r="F96" s="97">
        <v>263389.53000000003</v>
      </c>
      <c r="G96" s="97">
        <v>226406.37</v>
      </c>
      <c r="H96" s="97">
        <v>299423.21000000002</v>
      </c>
      <c r="I96" s="97">
        <v>55000</v>
      </c>
      <c r="J96" s="97">
        <v>0</v>
      </c>
      <c r="K96" s="97">
        <v>38230.39</v>
      </c>
      <c r="M96" s="94"/>
    </row>
    <row r="97" spans="5:13" x14ac:dyDescent="0.25">
      <c r="E97" s="43" t="s">
        <v>115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M97" s="94"/>
    </row>
    <row r="98" spans="5:13" x14ac:dyDescent="0.25">
      <c r="E98" s="43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>
        <v>0</v>
      </c>
      <c r="M98" s="94"/>
    </row>
    <row r="99" spans="5:13" x14ac:dyDescent="0.25">
      <c r="E99" s="43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M99" s="94"/>
    </row>
    <row r="100" spans="5:13" x14ac:dyDescent="0.25">
      <c r="E100" s="43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>
        <v>0</v>
      </c>
      <c r="M100" s="94"/>
    </row>
    <row r="101" spans="5:13" x14ac:dyDescent="0.25">
      <c r="E101" s="43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>
        <v>0</v>
      </c>
      <c r="M101" s="94"/>
    </row>
    <row r="102" spans="5:13" x14ac:dyDescent="0.25">
      <c r="E102" s="43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>
        <v>0</v>
      </c>
      <c r="M102" s="94"/>
    </row>
    <row r="103" spans="5:13" x14ac:dyDescent="0.25">
      <c r="E103" s="43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M103" s="94"/>
    </row>
    <row r="104" spans="5:13" x14ac:dyDescent="0.25">
      <c r="E104" s="43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M104" s="94"/>
    </row>
    <row r="105" spans="5:13" x14ac:dyDescent="0.25">
      <c r="E105" s="43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>
        <v>0</v>
      </c>
      <c r="M105" s="94"/>
    </row>
    <row r="106" spans="5:13" x14ac:dyDescent="0.25">
      <c r="E106" s="43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M106" s="94"/>
    </row>
    <row r="107" spans="5:13" x14ac:dyDescent="0.25">
      <c r="E107" s="43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  <c r="M107" s="94"/>
    </row>
    <row r="108" spans="5:13" x14ac:dyDescent="0.25">
      <c r="E108" s="43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>
        <v>0</v>
      </c>
      <c r="M108" s="94"/>
    </row>
    <row r="109" spans="5:13" x14ac:dyDescent="0.25">
      <c r="E109" s="43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>
        <v>0</v>
      </c>
      <c r="M109" s="94"/>
    </row>
    <row r="110" spans="5:13" x14ac:dyDescent="0.25">
      <c r="E110" s="43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>
        <v>0</v>
      </c>
      <c r="M110" s="94"/>
    </row>
    <row r="111" spans="5:13" x14ac:dyDescent="0.25">
      <c r="E111" s="43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M111" s="94"/>
    </row>
    <row r="112" spans="5:13" x14ac:dyDescent="0.25">
      <c r="E112" s="43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  <c r="M112" s="94"/>
    </row>
    <row r="113" spans="5:13" x14ac:dyDescent="0.25">
      <c r="E113" s="43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>
        <v>0</v>
      </c>
      <c r="M113" s="94"/>
    </row>
    <row r="114" spans="5:13" x14ac:dyDescent="0.25">
      <c r="E114" s="43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>
        <v>0</v>
      </c>
      <c r="M114" s="94"/>
    </row>
    <row r="115" spans="5:13" x14ac:dyDescent="0.25">
      <c r="E115" s="43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M115" s="94"/>
    </row>
    <row r="116" spans="5:13" x14ac:dyDescent="0.25">
      <c r="E116" s="43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  <c r="M116" s="94"/>
    </row>
    <row r="117" spans="5:13" x14ac:dyDescent="0.25">
      <c r="E117" s="43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  <c r="M117" s="94"/>
    </row>
    <row r="118" spans="5:13" x14ac:dyDescent="0.25">
      <c r="E118" s="43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M118" s="94"/>
    </row>
    <row r="119" spans="5:13" x14ac:dyDescent="0.25">
      <c r="E119" s="43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>
        <v>0</v>
      </c>
      <c r="M119" s="94"/>
    </row>
    <row r="120" spans="5:13" x14ac:dyDescent="0.25">
      <c r="E120" s="43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>
        <v>0</v>
      </c>
      <c r="M120" s="94"/>
    </row>
    <row r="121" spans="5:13" x14ac:dyDescent="0.25">
      <c r="E121" s="43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>
        <v>0</v>
      </c>
      <c r="M121" s="94"/>
    </row>
    <row r="122" spans="5:13" x14ac:dyDescent="0.25">
      <c r="E122" s="43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>
        <v>0</v>
      </c>
      <c r="M122" s="94"/>
    </row>
    <row r="123" spans="5:13" x14ac:dyDescent="0.25">
      <c r="E123" s="43" t="s">
        <v>133</v>
      </c>
      <c r="F123" s="97">
        <v>27309.919999999998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M123" s="94"/>
    </row>
    <row r="124" spans="5:13" x14ac:dyDescent="0.25">
      <c r="E124" s="43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  <c r="M124" s="94"/>
    </row>
    <row r="125" spans="5:13" x14ac:dyDescent="0.25">
      <c r="E125" s="43" t="s">
        <v>135</v>
      </c>
      <c r="F125" s="97">
        <v>27309.919999999998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  <c r="M125" s="94"/>
    </row>
    <row r="126" spans="5:13" x14ac:dyDescent="0.25">
      <c r="E126" s="95" t="s">
        <v>136</v>
      </c>
      <c r="F126" s="97">
        <v>1288975.6399999999</v>
      </c>
      <c r="G126" s="97">
        <v>806208.41</v>
      </c>
      <c r="H126" s="97">
        <v>1187172.98</v>
      </c>
      <c r="I126" s="97">
        <v>2482980.88</v>
      </c>
      <c r="J126" s="97">
        <v>596930.71</v>
      </c>
      <c r="K126" s="97">
        <v>1729841.54</v>
      </c>
      <c r="M126" s="94"/>
    </row>
    <row r="127" spans="5:13" x14ac:dyDescent="0.25">
      <c r="E127" s="43" t="s">
        <v>137</v>
      </c>
      <c r="F127" s="97">
        <v>48</v>
      </c>
      <c r="G127" s="97">
        <v>84048</v>
      </c>
      <c r="H127" s="97">
        <v>0</v>
      </c>
      <c r="I127" s="97">
        <v>0</v>
      </c>
      <c r="J127" s="97">
        <v>0</v>
      </c>
      <c r="K127" s="97">
        <v>0</v>
      </c>
      <c r="M127" s="94"/>
    </row>
    <row r="128" spans="5:13" x14ac:dyDescent="0.25">
      <c r="E128" s="43" t="s">
        <v>138</v>
      </c>
      <c r="F128" s="97">
        <v>0</v>
      </c>
      <c r="G128" s="97">
        <v>84000</v>
      </c>
      <c r="H128" s="97">
        <v>0</v>
      </c>
      <c r="I128" s="97">
        <v>0</v>
      </c>
      <c r="J128" s="97">
        <v>0</v>
      </c>
      <c r="K128" s="97">
        <v>0</v>
      </c>
      <c r="M128" s="94"/>
    </row>
    <row r="129" spans="5:13" x14ac:dyDescent="0.25">
      <c r="E129" s="43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>
        <v>0</v>
      </c>
      <c r="M129" s="94"/>
    </row>
    <row r="130" spans="5:13" x14ac:dyDescent="0.25">
      <c r="E130" s="43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>
        <v>0</v>
      </c>
      <c r="M130" s="94"/>
    </row>
    <row r="131" spans="5:13" x14ac:dyDescent="0.25">
      <c r="E131" s="43" t="s">
        <v>141</v>
      </c>
      <c r="F131" s="97">
        <v>48</v>
      </c>
      <c r="G131" s="97">
        <v>48</v>
      </c>
      <c r="H131" s="97">
        <v>0</v>
      </c>
      <c r="I131" s="97">
        <v>0</v>
      </c>
      <c r="J131" s="97">
        <v>0</v>
      </c>
      <c r="K131" s="97">
        <v>0</v>
      </c>
      <c r="M131" s="94"/>
    </row>
    <row r="132" spans="5:13" x14ac:dyDescent="0.25">
      <c r="E132" s="43" t="s">
        <v>142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7">
        <v>0</v>
      </c>
      <c r="M132" s="94"/>
    </row>
    <row r="133" spans="5:13" x14ac:dyDescent="0.25">
      <c r="E133" s="43" t="s">
        <v>143</v>
      </c>
      <c r="F133" s="97">
        <v>458133.58</v>
      </c>
      <c r="G133" s="97">
        <v>243267.54</v>
      </c>
      <c r="H133" s="97">
        <v>449712.29</v>
      </c>
      <c r="I133" s="97">
        <v>168731.06</v>
      </c>
      <c r="J133" s="97">
        <v>131599.84</v>
      </c>
      <c r="K133" s="97">
        <v>1338973.32</v>
      </c>
      <c r="M133" s="94"/>
    </row>
    <row r="134" spans="5:13" x14ac:dyDescent="0.25">
      <c r="E134" s="43" t="s">
        <v>144</v>
      </c>
      <c r="F134" s="97">
        <v>30990.44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  <c r="M134" s="94"/>
    </row>
    <row r="135" spans="5:13" x14ac:dyDescent="0.25">
      <c r="E135" s="43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  <c r="M135" s="94"/>
    </row>
    <row r="136" spans="5:13" x14ac:dyDescent="0.25">
      <c r="E136" s="43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>
        <v>0</v>
      </c>
      <c r="M136" s="94"/>
    </row>
    <row r="137" spans="5:13" x14ac:dyDescent="0.25">
      <c r="E137" s="43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  <c r="M137" s="94"/>
    </row>
    <row r="138" spans="5:13" x14ac:dyDescent="0.25">
      <c r="E138" s="43" t="s">
        <v>148</v>
      </c>
      <c r="F138" s="97">
        <v>30990.44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  <c r="M138" s="94"/>
    </row>
    <row r="139" spans="5:13" x14ac:dyDescent="0.25">
      <c r="E139" s="43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  <c r="M139" s="94"/>
    </row>
    <row r="140" spans="5:13" x14ac:dyDescent="0.25">
      <c r="E140" s="43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M140" s="94"/>
    </row>
    <row r="141" spans="5:13" x14ac:dyDescent="0.25">
      <c r="E141" s="43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>
        <v>0</v>
      </c>
      <c r="M141" s="94"/>
    </row>
    <row r="142" spans="5:13" x14ac:dyDescent="0.25">
      <c r="E142" s="43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>
        <v>0</v>
      </c>
      <c r="M142" s="94"/>
    </row>
    <row r="143" spans="5:13" x14ac:dyDescent="0.25">
      <c r="E143" s="43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>
        <v>0</v>
      </c>
      <c r="M143" s="94"/>
    </row>
    <row r="144" spans="5:13" x14ac:dyDescent="0.25">
      <c r="E144" s="43" t="s">
        <v>150</v>
      </c>
      <c r="F144" s="97">
        <v>427143.14</v>
      </c>
      <c r="G144" s="97">
        <v>243267.54</v>
      </c>
      <c r="H144" s="97">
        <v>449712.29</v>
      </c>
      <c r="I144" s="97">
        <v>168731.06</v>
      </c>
      <c r="J144" s="97">
        <v>131599.84</v>
      </c>
      <c r="K144" s="97">
        <v>1338973.32</v>
      </c>
      <c r="M144" s="94"/>
    </row>
    <row r="145" spans="5:13" x14ac:dyDescent="0.25">
      <c r="E145" s="43" t="s">
        <v>145</v>
      </c>
      <c r="F145" s="97">
        <v>246421.21</v>
      </c>
      <c r="G145" s="97">
        <v>76547.69</v>
      </c>
      <c r="H145" s="97">
        <v>99232.48</v>
      </c>
      <c r="I145" s="97">
        <v>22188.799999999999</v>
      </c>
      <c r="J145" s="97">
        <v>60810.9</v>
      </c>
      <c r="K145" s="97">
        <v>1202685.49</v>
      </c>
      <c r="M145" s="94"/>
    </row>
    <row r="146" spans="5:13" x14ac:dyDescent="0.25">
      <c r="E146" s="43" t="s">
        <v>146</v>
      </c>
      <c r="F146" s="97">
        <v>246421.21</v>
      </c>
      <c r="G146" s="97">
        <v>76547.69</v>
      </c>
      <c r="H146" s="97">
        <v>99232.48</v>
      </c>
      <c r="I146" s="97">
        <v>22188.799999999999</v>
      </c>
      <c r="J146" s="97">
        <v>60810.9</v>
      </c>
      <c r="K146" s="97">
        <v>1202685.49</v>
      </c>
      <c r="M146" s="94"/>
    </row>
    <row r="147" spans="5:13" x14ac:dyDescent="0.25">
      <c r="E147" s="43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>
        <v>0</v>
      </c>
      <c r="M147" s="94"/>
    </row>
    <row r="148" spans="5:13" x14ac:dyDescent="0.25">
      <c r="E148" s="43" t="s">
        <v>151</v>
      </c>
      <c r="F148" s="97">
        <v>84584.93</v>
      </c>
      <c r="G148" s="97">
        <v>42582.84</v>
      </c>
      <c r="H148" s="97">
        <v>322102.01</v>
      </c>
      <c r="I148" s="97">
        <v>106688.78</v>
      </c>
      <c r="J148" s="97">
        <v>34904.28</v>
      </c>
      <c r="K148" s="97">
        <v>42963</v>
      </c>
      <c r="M148" s="94"/>
    </row>
    <row r="149" spans="5:13" x14ac:dyDescent="0.25">
      <c r="E149" s="43" t="s">
        <v>152</v>
      </c>
      <c r="F149" s="97">
        <v>96137</v>
      </c>
      <c r="G149" s="97">
        <v>124137.01</v>
      </c>
      <c r="H149" s="97">
        <v>28377.8</v>
      </c>
      <c r="I149" s="97">
        <v>39853.480000000003</v>
      </c>
      <c r="J149" s="97">
        <v>35884.660000000003</v>
      </c>
      <c r="K149" s="97">
        <v>0</v>
      </c>
      <c r="M149" s="94"/>
    </row>
    <row r="150" spans="5:13" x14ac:dyDescent="0.25">
      <c r="E150" s="43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>
        <v>0</v>
      </c>
      <c r="M150" s="94"/>
    </row>
    <row r="151" spans="5:13" x14ac:dyDescent="0.25">
      <c r="E151" s="43" t="s">
        <v>154</v>
      </c>
      <c r="F151" s="97">
        <v>825679.76</v>
      </c>
      <c r="G151" s="97">
        <v>472903.3</v>
      </c>
      <c r="H151" s="97">
        <v>731592.64</v>
      </c>
      <c r="I151" s="97">
        <v>2306981.29</v>
      </c>
      <c r="J151" s="97">
        <v>393163.42</v>
      </c>
      <c r="K151" s="97">
        <v>0</v>
      </c>
      <c r="M151" s="94"/>
    </row>
    <row r="152" spans="5:13" x14ac:dyDescent="0.25">
      <c r="E152" s="43" t="s">
        <v>155</v>
      </c>
      <c r="F152" s="97">
        <v>825679.76</v>
      </c>
      <c r="G152" s="97">
        <v>472903.3</v>
      </c>
      <c r="H152" s="97">
        <v>731592.64</v>
      </c>
      <c r="I152" s="97">
        <v>2306981.29</v>
      </c>
      <c r="J152" s="97">
        <v>393163.42</v>
      </c>
      <c r="K152" s="97">
        <v>0</v>
      </c>
      <c r="M152" s="94"/>
    </row>
    <row r="153" spans="5:13" x14ac:dyDescent="0.25">
      <c r="E153" s="43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  <c r="M153" s="94"/>
    </row>
    <row r="154" spans="5:13" x14ac:dyDescent="0.25">
      <c r="E154" s="43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>
        <v>0</v>
      </c>
      <c r="M154" s="94"/>
    </row>
    <row r="155" spans="5:13" x14ac:dyDescent="0.25">
      <c r="E155" s="43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>
        <v>0</v>
      </c>
      <c r="M155" s="94"/>
    </row>
    <row r="156" spans="5:13" x14ac:dyDescent="0.25">
      <c r="E156" s="43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>
        <v>0</v>
      </c>
      <c r="M156" s="94"/>
    </row>
    <row r="157" spans="5:13" x14ac:dyDescent="0.25">
      <c r="E157" s="43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  <c r="M157" s="94"/>
    </row>
    <row r="158" spans="5:13" x14ac:dyDescent="0.25">
      <c r="E158" s="43" t="s">
        <v>160</v>
      </c>
      <c r="F158" s="97">
        <v>10037.469999999999</v>
      </c>
      <c r="G158" s="97">
        <v>91678.6</v>
      </c>
      <c r="H158" s="97">
        <v>0</v>
      </c>
      <c r="I158" s="97">
        <v>0</v>
      </c>
      <c r="J158" s="97">
        <v>0</v>
      </c>
      <c r="K158" s="97">
        <v>0</v>
      </c>
      <c r="M158" s="94"/>
    </row>
    <row r="159" spans="5:13" x14ac:dyDescent="0.25">
      <c r="E159" s="43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>
        <v>0</v>
      </c>
      <c r="M159" s="94"/>
    </row>
    <row r="160" spans="5:13" x14ac:dyDescent="0.25">
      <c r="E160" s="43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>
        <v>0</v>
      </c>
      <c r="M160" s="94"/>
    </row>
    <row r="161" spans="5:13" x14ac:dyDescent="0.25">
      <c r="E161" s="43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  <c r="M161" s="94"/>
    </row>
    <row r="162" spans="5:13" x14ac:dyDescent="0.25">
      <c r="E162" s="43" t="s">
        <v>159</v>
      </c>
      <c r="F162" s="97">
        <v>10037.469999999999</v>
      </c>
      <c r="G162" s="97">
        <v>91678.6</v>
      </c>
      <c r="H162" s="97">
        <v>0</v>
      </c>
      <c r="I162" s="97">
        <v>0</v>
      </c>
      <c r="J162" s="97">
        <v>0</v>
      </c>
      <c r="K162" s="97">
        <v>0</v>
      </c>
      <c r="M162" s="94"/>
    </row>
    <row r="163" spans="5:13" x14ac:dyDescent="0.25">
      <c r="E163" s="43" t="s">
        <v>161</v>
      </c>
      <c r="F163" s="97">
        <v>815642.29</v>
      </c>
      <c r="G163" s="97">
        <v>381224.7</v>
      </c>
      <c r="H163" s="97">
        <v>731592.64</v>
      </c>
      <c r="I163" s="97">
        <v>2306981.29</v>
      </c>
      <c r="J163" s="97">
        <v>393163.42</v>
      </c>
      <c r="K163" s="97">
        <v>0</v>
      </c>
      <c r="M163" s="94"/>
    </row>
    <row r="164" spans="5:13" x14ac:dyDescent="0.25">
      <c r="E164" s="43" t="s">
        <v>162</v>
      </c>
      <c r="F164" s="97">
        <v>815098.36</v>
      </c>
      <c r="G164" s="97">
        <v>381224.7</v>
      </c>
      <c r="H164" s="97">
        <v>731592.64</v>
      </c>
      <c r="I164" s="97">
        <v>2306981.29</v>
      </c>
      <c r="J164" s="97">
        <v>393163.42</v>
      </c>
      <c r="K164" s="97">
        <v>0</v>
      </c>
      <c r="M164" s="94"/>
    </row>
    <row r="165" spans="5:13" x14ac:dyDescent="0.25">
      <c r="E165" s="43" t="s">
        <v>163</v>
      </c>
      <c r="F165" s="97">
        <v>543.92999999999995</v>
      </c>
      <c r="G165" s="97">
        <v>0</v>
      </c>
      <c r="H165" s="97">
        <v>0</v>
      </c>
      <c r="I165" s="97">
        <v>0</v>
      </c>
      <c r="J165" s="97">
        <v>0</v>
      </c>
      <c r="K165" s="97">
        <v>0</v>
      </c>
      <c r="M165" s="94"/>
    </row>
    <row r="166" spans="5:13" x14ac:dyDescent="0.25">
      <c r="E166" s="43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0</v>
      </c>
      <c r="K166" s="97">
        <v>0</v>
      </c>
      <c r="M166" s="94"/>
    </row>
    <row r="167" spans="5:13" x14ac:dyDescent="0.25">
      <c r="E167" s="43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>
        <v>0</v>
      </c>
      <c r="M167" s="94"/>
    </row>
    <row r="168" spans="5:13" x14ac:dyDescent="0.25">
      <c r="E168" s="43" t="s">
        <v>166</v>
      </c>
      <c r="F168" s="97">
        <v>5114.3</v>
      </c>
      <c r="G168" s="97">
        <v>5989.57</v>
      </c>
      <c r="H168" s="97">
        <v>5868.05</v>
      </c>
      <c r="I168" s="97">
        <v>7268.53</v>
      </c>
      <c r="J168" s="97">
        <v>72167.45</v>
      </c>
      <c r="K168" s="97">
        <v>0</v>
      </c>
      <c r="M168" s="94"/>
    </row>
    <row r="169" spans="5:13" x14ac:dyDescent="0.25">
      <c r="E169" s="95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M169" s="94"/>
    </row>
    <row r="170" spans="5:13" x14ac:dyDescent="0.25">
      <c r="E170" s="95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M170" s="94"/>
    </row>
    <row r="171" spans="5:13" x14ac:dyDescent="0.25">
      <c r="E171" s="95" t="s">
        <v>169</v>
      </c>
      <c r="F171" s="97">
        <v>4620652.87</v>
      </c>
      <c r="G171" s="97">
        <v>4479623.34</v>
      </c>
      <c r="H171" s="97">
        <v>4943296.59</v>
      </c>
      <c r="I171" s="97">
        <v>2550905.87</v>
      </c>
      <c r="J171" s="97">
        <v>655254.1</v>
      </c>
      <c r="K171" s="97">
        <v>1857811.74</v>
      </c>
      <c r="M171" s="94"/>
    </row>
    <row r="172" spans="5:13" x14ac:dyDescent="0.25">
      <c r="E172" s="95" t="s">
        <v>170</v>
      </c>
      <c r="F172" s="97">
        <v>436539.52</v>
      </c>
      <c r="G172" s="97">
        <v>221969.75</v>
      </c>
      <c r="H172" s="97">
        <v>367863.32</v>
      </c>
      <c r="I172" s="97">
        <v>182893.13</v>
      </c>
      <c r="J172" s="97">
        <v>340025.21</v>
      </c>
      <c r="K172" s="97">
        <v>0</v>
      </c>
      <c r="M172" s="94"/>
    </row>
    <row r="173" spans="5:13" x14ac:dyDescent="0.25">
      <c r="E173" s="43" t="s">
        <v>171</v>
      </c>
      <c r="F173" s="97">
        <v>366742.32</v>
      </c>
      <c r="G173" s="97">
        <v>366742.32</v>
      </c>
      <c r="H173" s="97">
        <v>182893.13</v>
      </c>
      <c r="I173" s="97">
        <v>300238.78000000003</v>
      </c>
      <c r="J173" s="97">
        <v>318924.88</v>
      </c>
      <c r="K173" s="97">
        <v>0</v>
      </c>
      <c r="M173" s="94"/>
    </row>
    <row r="174" spans="5:13" x14ac:dyDescent="0.25">
      <c r="E174" s="43" t="s">
        <v>172</v>
      </c>
      <c r="F174" s="97">
        <v>0</v>
      </c>
      <c r="G174" s="97">
        <v>0</v>
      </c>
      <c r="H174" s="97">
        <v>0</v>
      </c>
      <c r="I174" s="97">
        <v>0</v>
      </c>
      <c r="J174" s="97">
        <v>0</v>
      </c>
      <c r="K174" s="97">
        <v>0</v>
      </c>
      <c r="M174" s="94"/>
    </row>
    <row r="175" spans="5:13" x14ac:dyDescent="0.25">
      <c r="E175" s="43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M175" s="94"/>
    </row>
    <row r="176" spans="5:13" x14ac:dyDescent="0.25">
      <c r="E176" s="43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M176" s="94"/>
    </row>
    <row r="177" spans="5:13" x14ac:dyDescent="0.25">
      <c r="E177" s="43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M177" s="94"/>
    </row>
    <row r="178" spans="5:13" x14ac:dyDescent="0.25">
      <c r="E178" s="43" t="s">
        <v>176</v>
      </c>
      <c r="F178" s="97">
        <v>0</v>
      </c>
      <c r="G178" s="97">
        <v>0</v>
      </c>
      <c r="H178" s="97">
        <v>0</v>
      </c>
      <c r="I178" s="97">
        <v>0</v>
      </c>
      <c r="J178" s="97">
        <v>0</v>
      </c>
      <c r="K178" s="97">
        <v>0</v>
      </c>
      <c r="M178" s="94"/>
    </row>
    <row r="179" spans="5:13" x14ac:dyDescent="0.25">
      <c r="E179" s="43" t="s">
        <v>177</v>
      </c>
      <c r="F179" s="97">
        <v>0</v>
      </c>
      <c r="G179" s="97">
        <v>0</v>
      </c>
      <c r="H179" s="97">
        <v>0</v>
      </c>
      <c r="I179" s="97">
        <v>0</v>
      </c>
      <c r="J179" s="97">
        <v>0</v>
      </c>
      <c r="K179" s="97">
        <v>0</v>
      </c>
      <c r="M179" s="94"/>
    </row>
    <row r="180" spans="5:13" x14ac:dyDescent="0.25">
      <c r="E180" s="43" t="s">
        <v>178</v>
      </c>
      <c r="F180" s="97">
        <v>0</v>
      </c>
      <c r="G180" s="97">
        <v>0</v>
      </c>
      <c r="H180" s="97">
        <v>0</v>
      </c>
      <c r="I180" s="97">
        <v>0</v>
      </c>
      <c r="J180" s="97">
        <v>0</v>
      </c>
      <c r="K180" s="97">
        <v>0</v>
      </c>
      <c r="M180" s="94"/>
    </row>
    <row r="181" spans="5:13" x14ac:dyDescent="0.25">
      <c r="E181" s="43" t="s">
        <v>179</v>
      </c>
      <c r="F181" s="97">
        <v>-144972.57</v>
      </c>
      <c r="G181" s="97">
        <v>0</v>
      </c>
      <c r="H181" s="97">
        <v>97839.98</v>
      </c>
      <c r="I181" s="97">
        <v>0</v>
      </c>
      <c r="J181" s="97">
        <v>4893.3999999999996</v>
      </c>
      <c r="K181" s="97">
        <v>0</v>
      </c>
      <c r="M181" s="94"/>
    </row>
    <row r="182" spans="5:13" x14ac:dyDescent="0.25">
      <c r="E182" s="43" t="s">
        <v>180</v>
      </c>
      <c r="F182" s="97">
        <v>212726.29</v>
      </c>
      <c r="G182" s="97">
        <v>-144772.57</v>
      </c>
      <c r="H182" s="97">
        <v>87130.21</v>
      </c>
      <c r="I182" s="97">
        <v>-117345.65</v>
      </c>
      <c r="J182" s="97">
        <v>16206.93</v>
      </c>
      <c r="K182" s="97">
        <v>0</v>
      </c>
      <c r="M182" s="94"/>
    </row>
    <row r="183" spans="5:13" x14ac:dyDescent="0.25">
      <c r="E183" s="43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M183" s="94"/>
    </row>
    <row r="184" spans="5:13" x14ac:dyDescent="0.25">
      <c r="E184" s="95" t="s">
        <v>182</v>
      </c>
      <c r="F184" s="97">
        <v>4184113.35</v>
      </c>
      <c r="G184" s="97">
        <v>4257653.59</v>
      </c>
      <c r="H184" s="97">
        <v>4575433.2699999996</v>
      </c>
      <c r="I184" s="97">
        <v>2368012.7400000002</v>
      </c>
      <c r="J184" s="97">
        <v>315228.89</v>
      </c>
      <c r="K184" s="97">
        <v>0</v>
      </c>
      <c r="M184" s="94"/>
    </row>
    <row r="185" spans="5:13" x14ac:dyDescent="0.25">
      <c r="E185" s="43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  <c r="M185" s="94"/>
    </row>
    <row r="186" spans="5:13" x14ac:dyDescent="0.25">
      <c r="E186" s="43" t="s">
        <v>184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>
        <v>0</v>
      </c>
      <c r="M186" s="94"/>
    </row>
    <row r="187" spans="5:13" x14ac:dyDescent="0.25">
      <c r="E187" s="43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  <c r="M187" s="94"/>
    </row>
    <row r="188" spans="5:13" x14ac:dyDescent="0.25">
      <c r="E188" s="43" t="s">
        <v>186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0</v>
      </c>
      <c r="M188" s="94"/>
    </row>
    <row r="189" spans="5:13" x14ac:dyDescent="0.25">
      <c r="E189" s="43" t="s">
        <v>187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>
        <v>0</v>
      </c>
      <c r="M189" s="94"/>
    </row>
    <row r="190" spans="5:13" x14ac:dyDescent="0.25">
      <c r="E190" s="43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M190" s="94"/>
    </row>
    <row r="191" spans="5:13" x14ac:dyDescent="0.25">
      <c r="E191" s="43" t="s">
        <v>186</v>
      </c>
      <c r="F191" s="97">
        <v>0</v>
      </c>
      <c r="G191" s="97">
        <v>0</v>
      </c>
      <c r="H191" s="97">
        <v>0</v>
      </c>
      <c r="I191" s="97">
        <v>0</v>
      </c>
      <c r="J191" s="97">
        <v>0</v>
      </c>
      <c r="K191" s="97">
        <v>0</v>
      </c>
      <c r="M191" s="94"/>
    </row>
    <row r="192" spans="5:13" x14ac:dyDescent="0.25">
      <c r="E192" s="43" t="s">
        <v>187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>
        <v>0</v>
      </c>
      <c r="M192" s="94"/>
    </row>
    <row r="193" spans="5:13" x14ac:dyDescent="0.25">
      <c r="E193" s="43" t="s">
        <v>189</v>
      </c>
      <c r="F193" s="97">
        <v>435247.33</v>
      </c>
      <c r="G193" s="97">
        <v>576659.19999999995</v>
      </c>
      <c r="H193" s="97">
        <v>747634.38</v>
      </c>
      <c r="I193" s="97">
        <v>508333.25</v>
      </c>
      <c r="J193" s="97">
        <v>28333.29</v>
      </c>
      <c r="K193" s="97">
        <v>0</v>
      </c>
      <c r="M193" s="94"/>
    </row>
    <row r="194" spans="5:13" x14ac:dyDescent="0.25">
      <c r="E194" s="43" t="s">
        <v>190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  <c r="M194" s="94"/>
    </row>
    <row r="195" spans="5:13" x14ac:dyDescent="0.25">
      <c r="E195" s="43" t="s">
        <v>191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>
        <v>0</v>
      </c>
      <c r="M195" s="94"/>
    </row>
    <row r="196" spans="5:13" x14ac:dyDescent="0.25">
      <c r="E196" s="43" t="s">
        <v>192</v>
      </c>
      <c r="F196" s="97">
        <v>435247.33</v>
      </c>
      <c r="G196" s="97">
        <v>576659.19999999995</v>
      </c>
      <c r="H196" s="97">
        <v>747634.38</v>
      </c>
      <c r="I196" s="97">
        <v>508333.25</v>
      </c>
      <c r="J196" s="97">
        <v>28333.29</v>
      </c>
      <c r="K196" s="97">
        <v>0</v>
      </c>
      <c r="M196" s="94"/>
    </row>
    <row r="197" spans="5:13" x14ac:dyDescent="0.25">
      <c r="E197" s="43" t="s">
        <v>193</v>
      </c>
      <c r="F197" s="97">
        <v>435247.33</v>
      </c>
      <c r="G197" s="97">
        <v>576659.19999999995</v>
      </c>
      <c r="H197" s="97">
        <v>747634.38</v>
      </c>
      <c r="I197" s="97">
        <v>508333.25</v>
      </c>
      <c r="J197" s="97">
        <v>28333.29</v>
      </c>
      <c r="K197" s="97">
        <v>0</v>
      </c>
      <c r="M197" s="94"/>
    </row>
    <row r="198" spans="5:13" x14ac:dyDescent="0.25">
      <c r="E198" s="43" t="s">
        <v>194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>
        <v>0</v>
      </c>
      <c r="M198" s="94"/>
    </row>
    <row r="199" spans="5:13" x14ac:dyDescent="0.25">
      <c r="E199" s="43" t="s">
        <v>195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>
        <v>0</v>
      </c>
      <c r="M199" s="94"/>
    </row>
    <row r="200" spans="5:13" x14ac:dyDescent="0.25">
      <c r="E200" s="43" t="s">
        <v>196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>
        <v>0</v>
      </c>
      <c r="M200" s="94"/>
    </row>
    <row r="201" spans="5:13" x14ac:dyDescent="0.25">
      <c r="E201" s="43" t="s">
        <v>197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>
        <v>0</v>
      </c>
      <c r="M201" s="94"/>
    </row>
    <row r="202" spans="5:13" x14ac:dyDescent="0.25">
      <c r="E202" s="43" t="s">
        <v>198</v>
      </c>
      <c r="F202" s="97">
        <v>637473.26</v>
      </c>
      <c r="G202" s="97">
        <v>421947.57</v>
      </c>
      <c r="H202" s="97">
        <v>308690.96000000002</v>
      </c>
      <c r="I202" s="97">
        <v>369977.25</v>
      </c>
      <c r="J202" s="97">
        <v>262594.13</v>
      </c>
      <c r="K202" s="97">
        <v>0</v>
      </c>
      <c r="M202" s="94"/>
    </row>
    <row r="203" spans="5:13" x14ac:dyDescent="0.25">
      <c r="E203" s="43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  <c r="M203" s="94"/>
    </row>
    <row r="204" spans="5:13" x14ac:dyDescent="0.25">
      <c r="E204" s="43" t="s">
        <v>199</v>
      </c>
      <c r="F204" s="97">
        <v>0</v>
      </c>
      <c r="G204" s="97">
        <v>30990.44</v>
      </c>
      <c r="H204" s="97">
        <v>0</v>
      </c>
      <c r="I204" s="97">
        <v>0</v>
      </c>
      <c r="J204" s="97">
        <v>0</v>
      </c>
      <c r="K204" s="97">
        <v>0</v>
      </c>
      <c r="M204" s="94"/>
    </row>
    <row r="205" spans="5:13" x14ac:dyDescent="0.25">
      <c r="E205" s="43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  <c r="M205" s="94"/>
    </row>
    <row r="206" spans="5:13" x14ac:dyDescent="0.25">
      <c r="E206" s="43" t="s">
        <v>146</v>
      </c>
      <c r="F206" s="97">
        <v>0</v>
      </c>
      <c r="G206" s="97">
        <v>0</v>
      </c>
      <c r="H206" s="97">
        <v>0</v>
      </c>
      <c r="I206" s="97">
        <v>0</v>
      </c>
      <c r="J206" s="97">
        <v>0</v>
      </c>
      <c r="K206" s="97">
        <v>0</v>
      </c>
      <c r="M206" s="94"/>
    </row>
    <row r="207" spans="5:13" x14ac:dyDescent="0.25">
      <c r="E207" s="43" t="s">
        <v>147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>
        <v>0</v>
      </c>
      <c r="M207" s="94"/>
    </row>
    <row r="208" spans="5:13" x14ac:dyDescent="0.25">
      <c r="E208" s="43" t="s">
        <v>148</v>
      </c>
      <c r="F208" s="97">
        <v>0</v>
      </c>
      <c r="G208" s="97">
        <v>30990.44</v>
      </c>
      <c r="H208" s="97">
        <v>0</v>
      </c>
      <c r="I208" s="97">
        <v>0</v>
      </c>
      <c r="J208" s="97">
        <v>0</v>
      </c>
      <c r="K208" s="97">
        <v>0</v>
      </c>
      <c r="M208" s="94"/>
    </row>
    <row r="209" spans="5:13" x14ac:dyDescent="0.25">
      <c r="E209" s="43" t="s">
        <v>192</v>
      </c>
      <c r="F209" s="97">
        <v>592825.96</v>
      </c>
      <c r="G209" s="97">
        <v>342852.39</v>
      </c>
      <c r="H209" s="97">
        <v>308690.96000000002</v>
      </c>
      <c r="I209" s="97">
        <v>369977.25</v>
      </c>
      <c r="J209" s="97">
        <v>262594.13</v>
      </c>
      <c r="K209" s="97">
        <v>0</v>
      </c>
      <c r="M209" s="94"/>
    </row>
    <row r="210" spans="5:13" x14ac:dyDescent="0.25">
      <c r="E210" s="43" t="s">
        <v>193</v>
      </c>
      <c r="F210" s="97">
        <v>722.76</v>
      </c>
      <c r="G210" s="97">
        <v>0</v>
      </c>
      <c r="H210" s="97">
        <v>0</v>
      </c>
      <c r="I210" s="97">
        <v>166514</v>
      </c>
      <c r="J210" s="97">
        <v>0</v>
      </c>
      <c r="K210" s="97">
        <v>0</v>
      </c>
      <c r="M210" s="94"/>
    </row>
    <row r="211" spans="5:13" x14ac:dyDescent="0.25">
      <c r="E211" s="43" t="s">
        <v>194</v>
      </c>
      <c r="F211" s="97">
        <v>0</v>
      </c>
      <c r="G211" s="97">
        <v>0</v>
      </c>
      <c r="H211" s="97">
        <v>0</v>
      </c>
      <c r="I211" s="97">
        <v>0</v>
      </c>
      <c r="J211" s="97">
        <v>0</v>
      </c>
      <c r="K211" s="97">
        <v>0</v>
      </c>
      <c r="M211" s="94"/>
    </row>
    <row r="212" spans="5:13" x14ac:dyDescent="0.25">
      <c r="E212" s="43" t="s">
        <v>195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>
        <v>0</v>
      </c>
      <c r="M212" s="94"/>
    </row>
    <row r="213" spans="5:13" x14ac:dyDescent="0.25">
      <c r="E213" s="43" t="s">
        <v>201</v>
      </c>
      <c r="F213" s="97">
        <v>90541.32</v>
      </c>
      <c r="G213" s="97">
        <v>22030.69</v>
      </c>
      <c r="H213" s="97">
        <v>85439.11</v>
      </c>
      <c r="I213" s="97">
        <v>13852.31</v>
      </c>
      <c r="J213" s="97">
        <v>121453.81</v>
      </c>
      <c r="K213" s="97">
        <v>0</v>
      </c>
      <c r="M213" s="94"/>
    </row>
    <row r="214" spans="5:13" x14ac:dyDescent="0.25">
      <c r="E214" s="43" t="s">
        <v>146</v>
      </c>
      <c r="F214" s="97">
        <v>90541.32</v>
      </c>
      <c r="G214" s="97">
        <v>22030.69</v>
      </c>
      <c r="H214" s="97">
        <v>85439.11</v>
      </c>
      <c r="I214" s="97">
        <v>13852.31</v>
      </c>
      <c r="J214" s="97">
        <v>121453.81</v>
      </c>
      <c r="K214" s="97">
        <v>0</v>
      </c>
      <c r="M214" s="94"/>
    </row>
    <row r="215" spans="5:13" x14ac:dyDescent="0.25">
      <c r="E215" s="43" t="s">
        <v>147</v>
      </c>
      <c r="F215" s="97">
        <v>0</v>
      </c>
      <c r="G215" s="97">
        <v>0</v>
      </c>
      <c r="H215" s="97">
        <v>0</v>
      </c>
      <c r="I215" s="97">
        <v>0</v>
      </c>
      <c r="J215" s="97">
        <v>0</v>
      </c>
      <c r="K215" s="97">
        <v>0</v>
      </c>
      <c r="M215" s="94"/>
    </row>
    <row r="216" spans="5:13" x14ac:dyDescent="0.25">
      <c r="E216" s="43" t="s">
        <v>202</v>
      </c>
      <c r="F216" s="97">
        <v>0</v>
      </c>
      <c r="G216" s="97">
        <v>0</v>
      </c>
      <c r="H216" s="97">
        <v>0</v>
      </c>
      <c r="I216" s="97">
        <v>0</v>
      </c>
      <c r="J216" s="97">
        <v>0</v>
      </c>
      <c r="K216" s="97">
        <v>0</v>
      </c>
      <c r="M216" s="94"/>
    </row>
    <row r="217" spans="5:13" x14ac:dyDescent="0.25">
      <c r="E217" s="43" t="s">
        <v>203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>
        <v>0</v>
      </c>
      <c r="M217" s="94"/>
    </row>
    <row r="218" spans="5:13" x14ac:dyDescent="0.25">
      <c r="E218" s="43" t="s">
        <v>204</v>
      </c>
      <c r="F218" s="97">
        <v>166696.88</v>
      </c>
      <c r="G218" s="97">
        <v>60905.57</v>
      </c>
      <c r="H218" s="97">
        <v>64329.63</v>
      </c>
      <c r="I218" s="97">
        <v>24237.27</v>
      </c>
      <c r="J218" s="97">
        <v>75657.429999999993</v>
      </c>
      <c r="K218" s="97">
        <v>0</v>
      </c>
      <c r="M218" s="94"/>
    </row>
    <row r="219" spans="5:13" x14ac:dyDescent="0.25">
      <c r="E219" s="43" t="s">
        <v>205</v>
      </c>
      <c r="F219" s="97">
        <v>53200</v>
      </c>
      <c r="G219" s="97">
        <v>4782.51</v>
      </c>
      <c r="H219" s="97">
        <v>5724.58</v>
      </c>
      <c r="I219" s="97">
        <v>70951.259999999995</v>
      </c>
      <c r="J219" s="97">
        <v>59136.71</v>
      </c>
      <c r="K219" s="97">
        <v>0</v>
      </c>
      <c r="M219" s="94"/>
    </row>
    <row r="220" spans="5:13" x14ac:dyDescent="0.25">
      <c r="E220" s="43" t="s">
        <v>206</v>
      </c>
      <c r="F220" s="97">
        <v>281664.51</v>
      </c>
      <c r="G220" s="97">
        <v>255133.62</v>
      </c>
      <c r="H220" s="97">
        <v>153197.64000000001</v>
      </c>
      <c r="I220" s="97">
        <v>94422.41</v>
      </c>
      <c r="J220" s="97">
        <v>6346.18</v>
      </c>
      <c r="K220" s="97">
        <v>0</v>
      </c>
      <c r="M220" s="94"/>
    </row>
    <row r="221" spans="5:13" x14ac:dyDescent="0.25">
      <c r="E221" s="43" t="s">
        <v>207</v>
      </c>
      <c r="F221" s="97">
        <v>44647.3</v>
      </c>
      <c r="G221" s="97">
        <v>48104.74</v>
      </c>
      <c r="H221" s="97">
        <v>0</v>
      </c>
      <c r="I221" s="97">
        <v>0</v>
      </c>
      <c r="J221" s="97">
        <v>0</v>
      </c>
      <c r="K221" s="97">
        <v>0</v>
      </c>
      <c r="M221" s="94"/>
    </row>
    <row r="222" spans="5:13" x14ac:dyDescent="0.25">
      <c r="E222" s="43" t="s">
        <v>208</v>
      </c>
      <c r="F222" s="97">
        <v>3111392.76</v>
      </c>
      <c r="G222" s="97">
        <v>3259046.82</v>
      </c>
      <c r="H222" s="97">
        <v>3519107.93</v>
      </c>
      <c r="I222" s="97">
        <v>1489702.24</v>
      </c>
      <c r="J222" s="97">
        <v>24301.47</v>
      </c>
      <c r="K222" s="97">
        <v>0</v>
      </c>
      <c r="M222" s="94"/>
    </row>
    <row r="223" spans="5:13" x14ac:dyDescent="0.25">
      <c r="E223" s="43" t="s">
        <v>209</v>
      </c>
      <c r="F223" s="97">
        <v>0</v>
      </c>
      <c r="G223" s="97">
        <v>0</v>
      </c>
      <c r="H223" s="97">
        <v>0</v>
      </c>
      <c r="I223" s="97">
        <v>0</v>
      </c>
      <c r="J223" s="97">
        <v>0</v>
      </c>
      <c r="K223" s="97">
        <v>0</v>
      </c>
      <c r="M223" s="94"/>
    </row>
    <row r="224" spans="5:13" x14ac:dyDescent="0.25">
      <c r="E224" s="43" t="s">
        <v>135</v>
      </c>
      <c r="F224" s="97">
        <v>3111392.76</v>
      </c>
      <c r="G224" s="97">
        <v>3259046.82</v>
      </c>
      <c r="H224" s="97">
        <v>3519107.93</v>
      </c>
      <c r="I224" s="97">
        <v>1489702.24</v>
      </c>
      <c r="J224" s="97">
        <v>24301.47</v>
      </c>
      <c r="K224" s="97">
        <v>0</v>
      </c>
      <c r="M224" s="94"/>
    </row>
    <row r="225" spans="5:13" x14ac:dyDescent="0.25">
      <c r="E225" s="43" t="s">
        <v>210</v>
      </c>
      <c r="F225" s="97">
        <v>0</v>
      </c>
      <c r="G225" s="97">
        <v>2596580.7999999998</v>
      </c>
      <c r="H225" s="97">
        <v>0</v>
      </c>
      <c r="I225" s="97">
        <v>0</v>
      </c>
      <c r="J225" s="97">
        <v>0</v>
      </c>
      <c r="K225" s="97">
        <v>0</v>
      </c>
      <c r="M225" s="94"/>
    </row>
    <row r="226" spans="5:13" x14ac:dyDescent="0.25">
      <c r="E226" s="43" t="s">
        <v>211</v>
      </c>
      <c r="F226" s="97">
        <v>3111392.76</v>
      </c>
      <c r="G226" s="97">
        <v>662466.02</v>
      </c>
      <c r="H226" s="97">
        <v>3519107.93</v>
      </c>
      <c r="I226" s="97">
        <v>1489702.24</v>
      </c>
      <c r="J226" s="97">
        <v>24301.47</v>
      </c>
      <c r="K226" s="97">
        <v>0</v>
      </c>
      <c r="M226" s="94"/>
    </row>
    <row r="227" spans="5:13" x14ac:dyDescent="0.25">
      <c r="E227" s="95" t="s">
        <v>212</v>
      </c>
      <c r="F227" s="97">
        <v>4620652.87</v>
      </c>
      <c r="G227" s="97">
        <v>4479623.34</v>
      </c>
      <c r="H227" s="97">
        <v>4943296.59</v>
      </c>
      <c r="I227" s="97">
        <v>2550905.87</v>
      </c>
      <c r="J227" s="97">
        <v>655254.1</v>
      </c>
      <c r="K227" s="97">
        <v>0</v>
      </c>
      <c r="M227" s="94"/>
    </row>
    <row r="228" spans="5:13" x14ac:dyDescent="0.25">
      <c r="E228" s="151" t="s">
        <v>213</v>
      </c>
      <c r="F228" s="97">
        <v>4186164.49</v>
      </c>
      <c r="G228" s="97">
        <v>2727587.54</v>
      </c>
      <c r="H228" s="97">
        <v>2370557.66</v>
      </c>
      <c r="I228" s="97">
        <v>2249211.58</v>
      </c>
      <c r="J228" s="97">
        <v>1840970.97</v>
      </c>
      <c r="K228" s="97">
        <v>1358119.55</v>
      </c>
      <c r="M228" s="94"/>
    </row>
    <row r="229" spans="5:13" x14ac:dyDescent="0.25">
      <c r="E229" s="43" t="s">
        <v>214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>
        <v>0</v>
      </c>
      <c r="M229" s="94"/>
    </row>
    <row r="230" spans="5:13" x14ac:dyDescent="0.25">
      <c r="E230" s="43" t="s">
        <v>215</v>
      </c>
      <c r="F230" s="97">
        <v>4186164.49</v>
      </c>
      <c r="G230" s="97">
        <v>2727587.54</v>
      </c>
      <c r="H230" s="97">
        <v>2370557.66</v>
      </c>
      <c r="I230" s="97">
        <v>2249211.58</v>
      </c>
      <c r="J230" s="97">
        <v>1840970.97</v>
      </c>
      <c r="K230" s="97">
        <v>1358119.55</v>
      </c>
      <c r="M230" s="94"/>
    </row>
    <row r="231" spans="5:13" x14ac:dyDescent="0.25">
      <c r="E231" s="43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M231" s="94"/>
    </row>
    <row r="232" spans="5:13" x14ac:dyDescent="0.25">
      <c r="E232" s="43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M232" s="94"/>
    </row>
    <row r="233" spans="5:13" x14ac:dyDescent="0.25">
      <c r="E233" s="43" t="s">
        <v>218</v>
      </c>
      <c r="F233" s="97">
        <v>0</v>
      </c>
      <c r="G233" s="97">
        <v>0</v>
      </c>
      <c r="H233" s="97">
        <v>0</v>
      </c>
      <c r="I233" s="97">
        <v>0</v>
      </c>
      <c r="J233" s="97">
        <v>0</v>
      </c>
      <c r="K233" s="97">
        <v>0</v>
      </c>
      <c r="M233" s="94"/>
    </row>
    <row r="234" spans="5:13" x14ac:dyDescent="0.25">
      <c r="E234" s="95" t="s">
        <v>219</v>
      </c>
      <c r="F234" s="97">
        <v>4579053.04</v>
      </c>
      <c r="G234" s="97">
        <v>3112903.4</v>
      </c>
      <c r="H234" s="97">
        <v>2410577.08</v>
      </c>
      <c r="I234" s="97">
        <v>2391571.7999999998</v>
      </c>
      <c r="J234" s="97">
        <v>1924513.63</v>
      </c>
      <c r="K234" s="97">
        <v>2006314.25</v>
      </c>
      <c r="M234" s="94"/>
    </row>
    <row r="235" spans="5:13" x14ac:dyDescent="0.25">
      <c r="E235" s="43" t="s">
        <v>220</v>
      </c>
      <c r="F235" s="97">
        <v>233326.45</v>
      </c>
      <c r="G235" s="97">
        <v>159972.51999999999</v>
      </c>
      <c r="H235" s="97">
        <v>40788.93</v>
      </c>
      <c r="I235" s="97">
        <v>45398.400000000001</v>
      </c>
      <c r="J235" s="97">
        <v>38477.4</v>
      </c>
      <c r="K235" s="97">
        <v>7635.33</v>
      </c>
      <c r="M235" s="94"/>
    </row>
    <row r="236" spans="5:13" x14ac:dyDescent="0.25">
      <c r="E236" s="43" t="s">
        <v>221</v>
      </c>
      <c r="F236" s="97">
        <v>370424.74</v>
      </c>
      <c r="G236" s="97">
        <v>241304.45</v>
      </c>
      <c r="H236" s="97">
        <v>175634.47</v>
      </c>
      <c r="I236" s="97">
        <v>177851.15</v>
      </c>
      <c r="J236" s="97">
        <v>486865.14</v>
      </c>
      <c r="K236" s="97">
        <v>374730.85</v>
      </c>
      <c r="M236" s="94"/>
    </row>
    <row r="237" spans="5:13" x14ac:dyDescent="0.25">
      <c r="E237" s="43" t="s">
        <v>222</v>
      </c>
      <c r="F237" s="97">
        <v>865286.28</v>
      </c>
      <c r="G237" s="97">
        <v>527424.42000000004</v>
      </c>
      <c r="H237" s="97">
        <v>388759.46</v>
      </c>
      <c r="I237" s="97">
        <v>583196.86</v>
      </c>
      <c r="J237" s="97">
        <v>114140.09</v>
      </c>
      <c r="K237" s="97">
        <v>72333.83</v>
      </c>
      <c r="M237" s="94"/>
    </row>
    <row r="238" spans="5:13" x14ac:dyDescent="0.25">
      <c r="E238" s="43" t="s">
        <v>223</v>
      </c>
      <c r="F238" s="97">
        <v>2108.6</v>
      </c>
      <c r="G238" s="97">
        <v>1866.79</v>
      </c>
      <c r="H238" s="97">
        <v>2774.3</v>
      </c>
      <c r="I238" s="97">
        <v>3787.19</v>
      </c>
      <c r="J238" s="97">
        <v>1856.5</v>
      </c>
      <c r="K238" s="97">
        <v>1404.3</v>
      </c>
      <c r="M238" s="94"/>
    </row>
    <row r="239" spans="5:13" x14ac:dyDescent="0.25">
      <c r="E239" s="43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  <c r="M239" s="94"/>
    </row>
    <row r="240" spans="5:13" x14ac:dyDescent="0.25">
      <c r="E240" s="43" t="s">
        <v>225</v>
      </c>
      <c r="F240" s="97">
        <v>2628222.21</v>
      </c>
      <c r="G240" s="97">
        <v>1819986.75</v>
      </c>
      <c r="H240" s="97">
        <v>1500414.3</v>
      </c>
      <c r="I240" s="97">
        <v>1378108.8</v>
      </c>
      <c r="J240" s="97">
        <v>984793.75</v>
      </c>
      <c r="K240" s="97">
        <v>563060.53</v>
      </c>
      <c r="M240" s="94"/>
    </row>
    <row r="241" spans="5:13" x14ac:dyDescent="0.25">
      <c r="E241" s="43" t="s">
        <v>226</v>
      </c>
      <c r="F241" s="97">
        <v>448704.49</v>
      </c>
      <c r="G241" s="97">
        <v>318520.64</v>
      </c>
      <c r="H241" s="97">
        <v>254419.5</v>
      </c>
      <c r="I241" s="97">
        <v>177690.76</v>
      </c>
      <c r="J241" s="97">
        <v>187505.42</v>
      </c>
      <c r="K241" s="97">
        <v>138840.03</v>
      </c>
      <c r="M241" s="94"/>
    </row>
    <row r="242" spans="5:13" x14ac:dyDescent="0.25">
      <c r="E242" s="43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M242" s="94"/>
    </row>
    <row r="243" spans="5:13" x14ac:dyDescent="0.25">
      <c r="E243" s="43" t="s">
        <v>228</v>
      </c>
      <c r="F243" s="97">
        <v>30980.27</v>
      </c>
      <c r="G243" s="97">
        <v>43827.83</v>
      </c>
      <c r="H243" s="97">
        <v>47786.12</v>
      </c>
      <c r="I243" s="97">
        <v>25538.639999999999</v>
      </c>
      <c r="J243" s="97">
        <v>110875.33</v>
      </c>
      <c r="K243" s="97">
        <v>847622.38</v>
      </c>
      <c r="M243" s="94"/>
    </row>
    <row r="244" spans="5:13" x14ac:dyDescent="0.25">
      <c r="E244" s="43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M244" s="94"/>
    </row>
    <row r="245" spans="5:13" x14ac:dyDescent="0.25">
      <c r="E245" s="95" t="s">
        <v>230</v>
      </c>
      <c r="F245" s="97">
        <v>-392888.55</v>
      </c>
      <c r="G245" s="97">
        <v>-385315.86</v>
      </c>
      <c r="H245" s="97">
        <v>-40019.42</v>
      </c>
      <c r="I245" s="97">
        <v>-142360.22</v>
      </c>
      <c r="J245" s="97">
        <v>-83542.66</v>
      </c>
      <c r="K245" s="97">
        <v>-648194.69999999995</v>
      </c>
      <c r="M245" s="94"/>
    </row>
    <row r="246" spans="5:13" x14ac:dyDescent="0.25">
      <c r="E246" s="95" t="s">
        <v>231</v>
      </c>
      <c r="F246" s="97">
        <v>4128470.51</v>
      </c>
      <c r="G246" s="97">
        <v>2178214.41</v>
      </c>
      <c r="H246" s="97">
        <v>1361525.34</v>
      </c>
      <c r="I246" s="97">
        <v>630029.19999999995</v>
      </c>
      <c r="J246" s="97">
        <v>206990.07</v>
      </c>
      <c r="K246" s="97">
        <v>707288.29</v>
      </c>
      <c r="M246" s="94"/>
    </row>
    <row r="247" spans="5:13" x14ac:dyDescent="0.25">
      <c r="E247" s="43" t="s">
        <v>232</v>
      </c>
      <c r="F247" s="97">
        <v>0</v>
      </c>
      <c r="G247" s="97">
        <v>0</v>
      </c>
      <c r="H247" s="97">
        <v>0</v>
      </c>
      <c r="I247" s="97">
        <v>0</v>
      </c>
      <c r="J247" s="97">
        <v>0</v>
      </c>
      <c r="K247" s="97">
        <v>0</v>
      </c>
      <c r="M247" s="94"/>
    </row>
    <row r="248" spans="5:13" x14ac:dyDescent="0.25">
      <c r="E248" s="43" t="s">
        <v>233</v>
      </c>
      <c r="F248" s="97">
        <v>3406877.2</v>
      </c>
      <c r="G248" s="97">
        <v>1888464.87</v>
      </c>
      <c r="H248" s="97">
        <v>1176726.02</v>
      </c>
      <c r="I248" s="97">
        <v>563572.76</v>
      </c>
      <c r="J248" s="97">
        <v>0</v>
      </c>
      <c r="K248" s="97">
        <v>618246.05000000005</v>
      </c>
      <c r="M248" s="94"/>
    </row>
    <row r="249" spans="5:13" x14ac:dyDescent="0.25">
      <c r="E249" s="43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M249" s="94"/>
    </row>
    <row r="250" spans="5:13" x14ac:dyDescent="0.25">
      <c r="E250" s="43" t="s">
        <v>235</v>
      </c>
      <c r="F250" s="97">
        <v>574371.79</v>
      </c>
      <c r="G250" s="97">
        <v>263543.03000000003</v>
      </c>
      <c r="H250" s="97">
        <v>126480.62</v>
      </c>
      <c r="I250" s="97">
        <v>66456.44</v>
      </c>
      <c r="J250" s="97">
        <v>82520</v>
      </c>
      <c r="K250" s="97">
        <v>89042.240000000005</v>
      </c>
      <c r="M250" s="94"/>
    </row>
    <row r="251" spans="5:13" x14ac:dyDescent="0.25">
      <c r="E251" s="95" t="s">
        <v>236</v>
      </c>
      <c r="F251" s="97">
        <v>3489336.45</v>
      </c>
      <c r="G251" s="97">
        <v>1935285.38</v>
      </c>
      <c r="H251" s="97">
        <v>1227798.8</v>
      </c>
      <c r="I251" s="97">
        <v>604754.93999999994</v>
      </c>
      <c r="J251" s="97">
        <v>102392.61</v>
      </c>
      <c r="K251" s="97">
        <v>14987.48</v>
      </c>
      <c r="M251" s="94"/>
    </row>
    <row r="252" spans="5:13" x14ac:dyDescent="0.25">
      <c r="E252" s="43" t="s">
        <v>237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>
        <v>0</v>
      </c>
      <c r="M252" s="94"/>
    </row>
    <row r="253" spans="5:13" x14ac:dyDescent="0.25">
      <c r="E253" s="43" t="s">
        <v>238</v>
      </c>
      <c r="F253" s="97">
        <v>0</v>
      </c>
      <c r="G253" s="97">
        <v>0</v>
      </c>
      <c r="H253" s="97">
        <v>0</v>
      </c>
      <c r="I253" s="97">
        <v>0</v>
      </c>
      <c r="J253" s="97">
        <v>0</v>
      </c>
      <c r="K253" s="97">
        <v>0</v>
      </c>
      <c r="M253" s="94"/>
    </row>
    <row r="254" spans="5:13" x14ac:dyDescent="0.25">
      <c r="E254" s="43" t="s">
        <v>239</v>
      </c>
      <c r="F254" s="97">
        <v>3463987.76</v>
      </c>
      <c r="G254" s="97">
        <v>1618288.85</v>
      </c>
      <c r="H254" s="97">
        <v>1050097.8999999999</v>
      </c>
      <c r="I254" s="97">
        <v>567372.07999999996</v>
      </c>
      <c r="J254" s="97">
        <v>18428.009999999998</v>
      </c>
      <c r="K254" s="97">
        <v>14987.48</v>
      </c>
      <c r="M254" s="94"/>
    </row>
    <row r="255" spans="5:13" x14ac:dyDescent="0.25">
      <c r="E255" s="95" t="s">
        <v>240</v>
      </c>
      <c r="F255" s="97">
        <v>246245.51</v>
      </c>
      <c r="G255" s="97">
        <v>-142386.82999999999</v>
      </c>
      <c r="H255" s="97">
        <v>93707.12</v>
      </c>
      <c r="I255" s="97">
        <v>-117085.96</v>
      </c>
      <c r="J255" s="97">
        <v>21054.799999999999</v>
      </c>
      <c r="K255" s="97">
        <v>44106.11</v>
      </c>
      <c r="M255" s="94"/>
    </row>
    <row r="256" spans="5:13" x14ac:dyDescent="0.25">
      <c r="E256" s="95" t="s">
        <v>241</v>
      </c>
      <c r="F256" s="97">
        <v>0</v>
      </c>
      <c r="G256" s="97">
        <v>0</v>
      </c>
      <c r="H256" s="97">
        <v>0</v>
      </c>
      <c r="I256" s="97">
        <v>0</v>
      </c>
      <c r="J256" s="97">
        <v>0</v>
      </c>
      <c r="K256" s="97">
        <v>20.190000000000001</v>
      </c>
      <c r="M256" s="94"/>
    </row>
    <row r="257" spans="5:13" x14ac:dyDescent="0.25">
      <c r="E257" s="43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M257" s="94"/>
    </row>
    <row r="258" spans="5:13" x14ac:dyDescent="0.25">
      <c r="E258" s="43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M258" s="94"/>
    </row>
    <row r="259" spans="5:13" x14ac:dyDescent="0.25">
      <c r="E259" s="43" t="s">
        <v>244</v>
      </c>
      <c r="F259" s="97">
        <v>0</v>
      </c>
      <c r="G259" s="97">
        <v>0</v>
      </c>
      <c r="H259" s="97">
        <v>0</v>
      </c>
      <c r="I259" s="97">
        <v>0</v>
      </c>
      <c r="J259" s="97">
        <v>0</v>
      </c>
      <c r="K259" s="97">
        <v>0</v>
      </c>
      <c r="M259" s="94"/>
    </row>
    <row r="260" spans="5:13" x14ac:dyDescent="0.25">
      <c r="E260" s="43" t="s">
        <v>245</v>
      </c>
      <c r="F260" s="97">
        <v>0</v>
      </c>
      <c r="G260" s="97">
        <v>0</v>
      </c>
      <c r="H260" s="97">
        <v>0</v>
      </c>
      <c r="I260" s="97">
        <v>0</v>
      </c>
      <c r="J260" s="97">
        <v>0</v>
      </c>
      <c r="K260" s="97">
        <v>0</v>
      </c>
      <c r="M260" s="94"/>
    </row>
    <row r="261" spans="5:13" x14ac:dyDescent="0.25">
      <c r="E261" s="43" t="s">
        <v>244</v>
      </c>
      <c r="F261" s="97">
        <v>0</v>
      </c>
      <c r="G261" s="97">
        <v>0</v>
      </c>
      <c r="H261" s="97">
        <v>0</v>
      </c>
      <c r="I261" s="97">
        <v>0</v>
      </c>
      <c r="J261" s="97">
        <v>0</v>
      </c>
      <c r="K261" s="97">
        <v>0</v>
      </c>
      <c r="M261" s="94"/>
    </row>
    <row r="262" spans="5:13" x14ac:dyDescent="0.25">
      <c r="E262" s="43" t="s">
        <v>246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M262" s="94"/>
    </row>
    <row r="263" spans="5:13" x14ac:dyDescent="0.25">
      <c r="E263" s="43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M263" s="94"/>
    </row>
    <row r="264" spans="5:13" x14ac:dyDescent="0.25">
      <c r="E264" s="43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M264" s="94"/>
    </row>
    <row r="265" spans="5:13" x14ac:dyDescent="0.25">
      <c r="E265" s="43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M265" s="94"/>
    </row>
    <row r="266" spans="5:13" x14ac:dyDescent="0.25">
      <c r="E266" s="43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M266" s="94"/>
    </row>
    <row r="267" spans="5:13" x14ac:dyDescent="0.25">
      <c r="E267" s="43" t="s">
        <v>251</v>
      </c>
      <c r="F267" s="97">
        <v>0</v>
      </c>
      <c r="G267" s="97">
        <v>0</v>
      </c>
      <c r="H267" s="97">
        <v>0</v>
      </c>
      <c r="I267" s="97">
        <v>0</v>
      </c>
      <c r="J267" s="97">
        <v>0</v>
      </c>
      <c r="K267" s="97">
        <v>0</v>
      </c>
      <c r="M267" s="94"/>
    </row>
    <row r="268" spans="5:13" x14ac:dyDescent="0.25">
      <c r="E268" s="95" t="s">
        <v>252</v>
      </c>
      <c r="F268" s="97">
        <v>1488.22</v>
      </c>
      <c r="G268" s="97">
        <v>1776.74</v>
      </c>
      <c r="H268" s="97">
        <v>733.91</v>
      </c>
      <c r="I268" s="97">
        <v>259.69</v>
      </c>
      <c r="J268" s="97">
        <v>1729.87</v>
      </c>
      <c r="K268" s="97">
        <v>228.9</v>
      </c>
      <c r="M268" s="94"/>
    </row>
    <row r="269" spans="5:13" x14ac:dyDescent="0.25">
      <c r="E269" s="43" t="s">
        <v>253</v>
      </c>
      <c r="F269" s="97">
        <v>0</v>
      </c>
      <c r="G269" s="97">
        <v>0</v>
      </c>
      <c r="H269" s="97">
        <v>0</v>
      </c>
      <c r="I269" s="97">
        <v>0</v>
      </c>
      <c r="J269" s="97">
        <v>0</v>
      </c>
      <c r="K269" s="97">
        <v>0</v>
      </c>
      <c r="M269" s="94"/>
    </row>
    <row r="270" spans="5:13" x14ac:dyDescent="0.25">
      <c r="E270" s="43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M270" s="94"/>
    </row>
    <row r="271" spans="5:13" x14ac:dyDescent="0.25">
      <c r="E271" s="43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M271" s="94"/>
    </row>
    <row r="272" spans="5:13" x14ac:dyDescent="0.25">
      <c r="E272" s="43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M272" s="94"/>
    </row>
    <row r="273" spans="5:13" x14ac:dyDescent="0.25">
      <c r="E273" s="43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M273" s="94"/>
    </row>
    <row r="274" spans="5:13" x14ac:dyDescent="0.25">
      <c r="E274" s="43" t="s">
        <v>257</v>
      </c>
      <c r="F274" s="97">
        <v>0</v>
      </c>
      <c r="G274" s="97">
        <v>696.82</v>
      </c>
      <c r="H274" s="97">
        <v>0</v>
      </c>
      <c r="I274" s="97">
        <v>0</v>
      </c>
      <c r="J274" s="97">
        <v>1370.5</v>
      </c>
      <c r="K274" s="97">
        <v>0</v>
      </c>
      <c r="M274" s="94"/>
    </row>
    <row r="275" spans="5:13" x14ac:dyDescent="0.25">
      <c r="E275" s="95" t="s">
        <v>258</v>
      </c>
      <c r="F275" s="97">
        <v>244757.29</v>
      </c>
      <c r="G275" s="97">
        <v>-144163.57</v>
      </c>
      <c r="H275" s="97">
        <v>92973.21</v>
      </c>
      <c r="I275" s="97">
        <v>-117345.65</v>
      </c>
      <c r="J275" s="97">
        <v>19324.93</v>
      </c>
      <c r="K275" s="97">
        <v>43897.4</v>
      </c>
      <c r="M275" s="94"/>
    </row>
    <row r="276" spans="5:13" x14ac:dyDescent="0.25">
      <c r="E276" s="95" t="s">
        <v>259</v>
      </c>
      <c r="F276" s="97">
        <v>32031</v>
      </c>
      <c r="G276" s="97">
        <v>609</v>
      </c>
      <c r="H276" s="97">
        <v>5843</v>
      </c>
      <c r="I276" s="97">
        <v>0</v>
      </c>
      <c r="J276" s="97">
        <v>3118</v>
      </c>
      <c r="K276" s="97">
        <v>39004</v>
      </c>
      <c r="M276" s="94"/>
    </row>
    <row r="277" spans="5:13" x14ac:dyDescent="0.25">
      <c r="E277" s="95" t="s">
        <v>260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>
        <v>0</v>
      </c>
      <c r="M277" s="94"/>
    </row>
    <row r="278" spans="5:13" x14ac:dyDescent="0.25">
      <c r="E278" s="95" t="s">
        <v>261</v>
      </c>
      <c r="F278" s="97">
        <v>212726.29</v>
      </c>
      <c r="G278" s="97">
        <v>-144772.57</v>
      </c>
      <c r="H278" s="97">
        <v>87130.21</v>
      </c>
      <c r="I278" s="97">
        <v>-117345.65</v>
      </c>
      <c r="J278" s="97">
        <v>16206.93</v>
      </c>
      <c r="K278" s="97">
        <v>4893.3999999999996</v>
      </c>
      <c r="M278" s="94"/>
    </row>
    <row r="279" spans="5:13" x14ac:dyDescent="0.25">
      <c r="F279" s="93"/>
      <c r="G279" s="93"/>
      <c r="H279" s="93"/>
      <c r="I279" s="93"/>
      <c r="J279" s="93"/>
      <c r="K279" s="9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33846-A54A-4BAA-B0D4-F35D9B0FA437}">
  <sheetPr>
    <tabColor theme="5" tint="0.79998168889431442"/>
  </sheetPr>
  <dimension ref="A1:K177"/>
  <sheetViews>
    <sheetView topLeftCell="A180" workbookViewId="0">
      <selection activeCell="E211" sqref="E21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4.4" x14ac:dyDescent="0.3">
      <c r="E1" s="186" t="s">
        <v>395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0.26468383035607929</v>
      </c>
      <c r="B4" s="139">
        <f>MAX(F4:K4)</f>
        <v>0.43057794573621117</v>
      </c>
      <c r="C4" s="155">
        <f>AVERAGE(F4:K4)</f>
        <v>0.3356104337811634</v>
      </c>
      <c r="D4" s="156">
        <f>MEDIAN(F4:K4)</f>
        <v>0.33208245582743379</v>
      </c>
      <c r="E4" s="47" t="s">
        <v>364</v>
      </c>
      <c r="F4" s="71">
        <f>SUM(F9:F12)/SUM(F13:F15)</f>
        <v>0.43057794573621117</v>
      </c>
      <c r="G4" s="71">
        <f t="shared" ref="G4:K4" si="0">SUM(G9:G12)/SUM(G13:G15)</f>
        <v>0.36643474007776722</v>
      </c>
      <c r="H4" s="71">
        <f t="shared" si="0"/>
        <v>0.35492818159527484</v>
      </c>
      <c r="I4" s="71">
        <f t="shared" si="0"/>
        <v>0.30923673005959268</v>
      </c>
      <c r="J4" s="71">
        <f t="shared" si="0"/>
        <v>0.28780117486205548</v>
      </c>
      <c r="K4" s="71">
        <f t="shared" si="0"/>
        <v>0.26468383035607929</v>
      </c>
    </row>
    <row r="5" spans="1:11" x14ac:dyDescent="0.25">
      <c r="A5" s="139">
        <f t="shared" ref="A5:A7" si="1">MIN(F5:K5)</f>
        <v>1.630403929933709</v>
      </c>
      <c r="B5" s="139">
        <f t="shared" ref="B5:B7" si="2">MAX(F5:K5)</f>
        <v>2.2664556394153728</v>
      </c>
      <c r="C5" s="155">
        <f t="shared" ref="C5:C7" si="3">AVERAGEIF(F5:K5,"&gt;0")</f>
        <v>1.8344135760182538</v>
      </c>
      <c r="D5" s="156">
        <f t="shared" ref="D5:D7" si="4">_xlfn.AGGREGATE(12,6,F5:K5)</f>
        <v>1.7294035822226834</v>
      </c>
      <c r="E5" s="47" t="s">
        <v>363</v>
      </c>
      <c r="F5" s="71">
        <f t="shared" ref="F5:K5" si="5">SUM(F9:F12)/F14</f>
        <v>1.642124470116582</v>
      </c>
      <c r="G5" s="71">
        <f t="shared" si="5"/>
        <v>1.6357042641417174</v>
      </c>
      <c r="H5" s="71">
        <f t="shared" si="5"/>
        <v>1.630403929933709</v>
      </c>
      <c r="I5" s="71">
        <f t="shared" si="5"/>
        <v>1.8166826943287846</v>
      </c>
      <c r="J5" s="71">
        <f t="shared" si="5"/>
        <v>2.0151104581733579</v>
      </c>
      <c r="K5" s="71">
        <f t="shared" si="5"/>
        <v>2.2664556394153728</v>
      </c>
    </row>
    <row r="6" spans="1:11" x14ac:dyDescent="0.25">
      <c r="A6" s="139">
        <f t="shared" si="1"/>
        <v>1.5965266453216203</v>
      </c>
      <c r="B6" s="139">
        <f t="shared" si="2"/>
        <v>2.2307987013812651</v>
      </c>
      <c r="C6" s="155">
        <f t="shared" si="3"/>
        <v>1.799175634691456</v>
      </c>
      <c r="D6" s="156">
        <f t="shared" si="4"/>
        <v>1.6955362365457622</v>
      </c>
      <c r="E6" s="47" t="s">
        <v>365</v>
      </c>
      <c r="F6" s="71">
        <f t="shared" ref="F6:K6" si="6">SUM(F10:F11)/F14</f>
        <v>1.6098337455022036</v>
      </c>
      <c r="G6" s="71">
        <f t="shared" si="6"/>
        <v>1.5965266453216203</v>
      </c>
      <c r="H6" s="71">
        <f t="shared" si="6"/>
        <v>1.5983350070315381</v>
      </c>
      <c r="I6" s="71">
        <f t="shared" si="6"/>
        <v>1.7812387275893207</v>
      </c>
      <c r="J6" s="71">
        <f t="shared" si="6"/>
        <v>1.97832098132279</v>
      </c>
      <c r="K6" s="71">
        <f t="shared" si="6"/>
        <v>2.2307987013812651</v>
      </c>
    </row>
    <row r="7" spans="1:11" ht="13.8" thickBot="1" x14ac:dyDescent="0.3">
      <c r="A7" s="139">
        <f t="shared" si="1"/>
        <v>1.4176251143681629</v>
      </c>
      <c r="B7" s="139">
        <f t="shared" si="2"/>
        <v>2.0563604401118498</v>
      </c>
      <c r="C7" s="155">
        <f t="shared" si="3"/>
        <v>1.6397906629775771</v>
      </c>
      <c r="D7" s="156">
        <f t="shared" si="4"/>
        <v>1.5698560763262399</v>
      </c>
      <c r="E7" s="49" t="s">
        <v>366</v>
      </c>
      <c r="F7" s="73">
        <f t="shared" ref="F7:K7" si="7">F11/F14</f>
        <v>1.4659979735109541</v>
      </c>
      <c r="G7" s="73">
        <f t="shared" si="7"/>
        <v>1.4176251143681629</v>
      </c>
      <c r="H7" s="73">
        <f t="shared" si="7"/>
        <v>1.4929369260670118</v>
      </c>
      <c r="I7" s="73">
        <f t="shared" si="7"/>
        <v>1.646775226585468</v>
      </c>
      <c r="J7" s="73">
        <f t="shared" si="7"/>
        <v>1.7590482972220136</v>
      </c>
      <c r="K7" s="73">
        <f t="shared" si="7"/>
        <v>2.0563604401118498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F115</f>
        <v>126563.34</v>
      </c>
      <c r="G9" s="76">
        <f t="shared" ref="G9:K12" si="8">G115</f>
        <v>133849.57</v>
      </c>
      <c r="H9" s="76">
        <f t="shared" si="8"/>
        <v>94373.1</v>
      </c>
      <c r="I9" s="76">
        <f t="shared" si="8"/>
        <v>72959.289999999994</v>
      </c>
      <c r="J9" s="76">
        <f t="shared" si="8"/>
        <v>63451.79</v>
      </c>
      <c r="K9" s="76">
        <f t="shared" si="8"/>
        <v>48201.26</v>
      </c>
    </row>
    <row r="10" spans="1:11" x14ac:dyDescent="0.25">
      <c r="E10" s="43" t="s">
        <v>288</v>
      </c>
      <c r="F10" s="76">
        <f>F116</f>
        <v>750949.58</v>
      </c>
      <c r="G10" s="76">
        <f t="shared" si="8"/>
        <v>786496.19</v>
      </c>
      <c r="H10" s="76">
        <f t="shared" si="8"/>
        <v>427779.89</v>
      </c>
      <c r="I10" s="76">
        <f t="shared" si="8"/>
        <v>413350.31</v>
      </c>
      <c r="J10" s="76">
        <f t="shared" si="8"/>
        <v>560967.69999999995</v>
      </c>
      <c r="K10" s="76">
        <f t="shared" si="8"/>
        <v>373028.14</v>
      </c>
    </row>
    <row r="11" spans="1:11" x14ac:dyDescent="0.25">
      <c r="E11" s="43" t="s">
        <v>287</v>
      </c>
      <c r="F11" s="76">
        <f>F117</f>
        <v>7653802.2999999998</v>
      </c>
      <c r="G11" s="76">
        <f t="shared" si="8"/>
        <v>6232237.0599999996</v>
      </c>
      <c r="H11" s="76">
        <f t="shared" si="8"/>
        <v>6059393</v>
      </c>
      <c r="I11" s="76">
        <f t="shared" si="8"/>
        <v>5062303.49</v>
      </c>
      <c r="J11" s="76">
        <f t="shared" si="8"/>
        <v>4500192.45</v>
      </c>
      <c r="K11" s="76">
        <f t="shared" si="8"/>
        <v>4397431.53</v>
      </c>
    </row>
    <row r="12" spans="1:11" x14ac:dyDescent="0.25">
      <c r="E12" s="43" t="s">
        <v>290</v>
      </c>
      <c r="F12" s="76">
        <f>F118</f>
        <v>42022.720000000001</v>
      </c>
      <c r="G12" s="76">
        <f t="shared" si="8"/>
        <v>38385.11</v>
      </c>
      <c r="H12" s="76">
        <f t="shared" si="8"/>
        <v>35785.25</v>
      </c>
      <c r="I12" s="76">
        <f t="shared" si="8"/>
        <v>35997.97</v>
      </c>
      <c r="J12" s="76">
        <f t="shared" si="8"/>
        <v>30667.13</v>
      </c>
      <c r="K12" s="76">
        <f t="shared" si="8"/>
        <v>28049.45</v>
      </c>
    </row>
    <row r="13" spans="1:11" x14ac:dyDescent="0.25">
      <c r="E13" s="43" t="s">
        <v>310</v>
      </c>
      <c r="F13" s="43">
        <f>F128</f>
        <v>402716.13</v>
      </c>
      <c r="G13" s="43">
        <f t="shared" ref="G13:K13" si="9">G128</f>
        <v>402716.13</v>
      </c>
      <c r="H13" s="43">
        <f t="shared" si="9"/>
        <v>402716.13</v>
      </c>
      <c r="I13" s="43">
        <f t="shared" si="9"/>
        <v>402716.13</v>
      </c>
      <c r="J13" s="43">
        <f t="shared" si="9"/>
        <v>402716.13</v>
      </c>
      <c r="K13" s="43">
        <f t="shared" si="9"/>
        <v>402716.13</v>
      </c>
    </row>
    <row r="14" spans="1:11" x14ac:dyDescent="0.25">
      <c r="E14" s="43" t="s">
        <v>286</v>
      </c>
      <c r="F14" s="76">
        <f>F130</f>
        <v>5220881.91</v>
      </c>
      <c r="G14" s="76">
        <f t="shared" ref="G14:K15" si="10">G130</f>
        <v>4396251.87</v>
      </c>
      <c r="H14" s="76">
        <f t="shared" si="10"/>
        <v>4058706.63</v>
      </c>
      <c r="I14" s="76">
        <f t="shared" si="10"/>
        <v>3074070.71</v>
      </c>
      <c r="J14" s="76">
        <f t="shared" si="10"/>
        <v>2558310.91</v>
      </c>
      <c r="K14" s="76">
        <f t="shared" si="10"/>
        <v>2138453.67</v>
      </c>
    </row>
    <row r="15" spans="1:11" x14ac:dyDescent="0.25">
      <c r="E15" s="43" t="s">
        <v>362</v>
      </c>
      <c r="F15" s="76">
        <f>F131</f>
        <v>14287635.279999999</v>
      </c>
      <c r="G15" s="76">
        <f t="shared" si="10"/>
        <v>14825175.52</v>
      </c>
      <c r="H15" s="76">
        <f t="shared" si="10"/>
        <v>14182718.74</v>
      </c>
      <c r="I15" s="76">
        <f t="shared" si="10"/>
        <v>14582552.550000001</v>
      </c>
      <c r="J15" s="76">
        <f t="shared" si="10"/>
        <v>14951613.77</v>
      </c>
      <c r="K15" s="76">
        <f t="shared" si="10"/>
        <v>15770150.439999999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1">MIN(F19:K19)</f>
        <v>48.876044743383709</v>
      </c>
      <c r="B19" s="152">
        <f t="shared" ref="B19:B25" si="12">MAX(F19:K19)</f>
        <v>72.751577058020743</v>
      </c>
      <c r="C19" s="156">
        <f>AVERAGE(F19:K19)</f>
        <v>62.365665553708688</v>
      </c>
      <c r="D19" s="156">
        <f>MEDIAN(F19:K19)</f>
        <v>61.522146785877553</v>
      </c>
      <c r="E19" s="47" t="s">
        <v>293</v>
      </c>
      <c r="F19" s="71">
        <f>F28/(F27/365)</f>
        <v>62.359593720359619</v>
      </c>
      <c r="G19" s="71">
        <f t="shared" ref="G19:K19" si="13">G28/(G27/365)</f>
        <v>71.349779647917245</v>
      </c>
      <c r="H19" s="71">
        <f t="shared" si="13"/>
        <v>48.876044743383709</v>
      </c>
      <c r="I19" s="71">
        <f t="shared" si="13"/>
        <v>60.684699851395493</v>
      </c>
      <c r="J19" s="71">
        <f t="shared" si="13"/>
        <v>72.751577058020743</v>
      </c>
      <c r="K19" s="71">
        <f t="shared" si="13"/>
        <v>58.17229830117531</v>
      </c>
    </row>
    <row r="20" spans="1:11" x14ac:dyDescent="0.25">
      <c r="A20" s="152">
        <f t="shared" si="11"/>
        <v>7.5168004087104787</v>
      </c>
      <c r="B20" s="152">
        <f t="shared" si="12"/>
        <v>12.142636476685889</v>
      </c>
      <c r="C20" s="156">
        <f t="shared" ref="C20:C25" si="14">AVERAGE(F20:K20)</f>
        <v>9.9820503186463458</v>
      </c>
      <c r="D20" s="156">
        <f t="shared" ref="D20:D25" si="15">MEDIAN(F20:K20)</f>
        <v>10.610614350342177</v>
      </c>
      <c r="E20" s="121" t="s">
        <v>367</v>
      </c>
      <c r="F20" s="71">
        <f>F29/(F27/365)</f>
        <v>10.509944572166535</v>
      </c>
      <c r="G20" s="71">
        <f t="shared" ref="G20:K20" si="16">G29/(G27/365)</f>
        <v>12.142636476685889</v>
      </c>
      <c r="H20" s="71">
        <f t="shared" si="16"/>
        <v>10.782610323668615</v>
      </c>
      <c r="I20" s="71">
        <f t="shared" si="16"/>
        <v>10.711284128517818</v>
      </c>
      <c r="J20" s="71">
        <f t="shared" si="16"/>
        <v>8.2290260021287338</v>
      </c>
      <c r="K20" s="71">
        <f t="shared" si="16"/>
        <v>7.5168004087104787</v>
      </c>
    </row>
    <row r="21" spans="1:11" x14ac:dyDescent="0.25">
      <c r="A21" s="152">
        <f t="shared" si="11"/>
        <v>331.78586451098738</v>
      </c>
      <c r="B21" s="152">
        <f t="shared" si="12"/>
        <v>463.72803276972201</v>
      </c>
      <c r="C21" s="156">
        <f t="shared" si="14"/>
        <v>402.11266995848695</v>
      </c>
      <c r="D21" s="156">
        <f t="shared" si="15"/>
        <v>416.18434896128832</v>
      </c>
      <c r="E21" s="47" t="s">
        <v>368</v>
      </c>
      <c r="F21" s="71">
        <f>F30/(F27/365)</f>
        <v>433.5471827144176</v>
      </c>
      <c r="G21" s="71">
        <f t="shared" ref="G21:K21" si="17">G30/(G27/365)</f>
        <v>398.82151520815904</v>
      </c>
      <c r="H21" s="71">
        <f t="shared" si="17"/>
        <v>463.72803276972201</v>
      </c>
      <c r="I21" s="71">
        <f t="shared" si="17"/>
        <v>451.30983053651568</v>
      </c>
      <c r="J21" s="71">
        <f t="shared" si="17"/>
        <v>331.78586451098738</v>
      </c>
      <c r="K21" s="71">
        <f t="shared" si="17"/>
        <v>333.48359401111964</v>
      </c>
    </row>
    <row r="22" spans="1:11" x14ac:dyDescent="0.25">
      <c r="A22" s="152">
        <f t="shared" si="11"/>
        <v>-404.06937770266967</v>
      </c>
      <c r="B22" s="152">
        <f t="shared" si="12"/>
        <v>-250.80526145083792</v>
      </c>
      <c r="C22" s="156">
        <f t="shared" si="14"/>
        <v>-329.76495408613187</v>
      </c>
      <c r="D22" s="156">
        <f t="shared" si="15"/>
        <v>-338.00337175272364</v>
      </c>
      <c r="E22" s="47" t="s">
        <v>294</v>
      </c>
      <c r="F22" s="71">
        <f>F19+F20-F21</f>
        <v>-360.67764442189144</v>
      </c>
      <c r="G22" s="71">
        <f t="shared" ref="G22:K22" si="18">G19+G20-G21</f>
        <v>-315.32909908355589</v>
      </c>
      <c r="H22" s="71">
        <f t="shared" si="18"/>
        <v>-404.06937770266967</v>
      </c>
      <c r="I22" s="71">
        <f t="shared" si="18"/>
        <v>-379.91384655660238</v>
      </c>
      <c r="J22" s="71">
        <f t="shared" si="18"/>
        <v>-250.80526145083792</v>
      </c>
      <c r="K22" s="71">
        <f t="shared" si="18"/>
        <v>-267.79449530123384</v>
      </c>
    </row>
    <row r="23" spans="1:11" x14ac:dyDescent="0.25">
      <c r="A23" s="152">
        <f t="shared" si="11"/>
        <v>9.0018041451646866E-2</v>
      </c>
      <c r="B23" s="152">
        <f t="shared" si="12"/>
        <v>0.15341042871173249</v>
      </c>
      <c r="C23" s="156">
        <f t="shared" si="14"/>
        <v>0.11808787577127011</v>
      </c>
      <c r="D23" s="156">
        <f t="shared" si="15"/>
        <v>0.11371673999509262</v>
      </c>
      <c r="E23" s="47" t="s">
        <v>295</v>
      </c>
      <c r="F23" s="71">
        <f>F27/F31</f>
        <v>0.15341042871173249</v>
      </c>
      <c r="G23" s="71">
        <f t="shared" ref="G23:K23" si="19">G27/G31</f>
        <v>0.1428571371254159</v>
      </c>
      <c r="H23" s="71">
        <f t="shared" si="19"/>
        <v>0.11878752314769003</v>
      </c>
      <c r="I23" s="71">
        <f t="shared" si="19"/>
        <v>9.4808167348640129E-2</v>
      </c>
      <c r="J23" s="71">
        <f t="shared" si="19"/>
        <v>0.1086459568424952</v>
      </c>
      <c r="K23" s="71">
        <f t="shared" si="19"/>
        <v>9.0018041451646866E-2</v>
      </c>
    </row>
    <row r="24" spans="1:11" x14ac:dyDescent="0.25">
      <c r="A24" s="152">
        <f t="shared" si="11"/>
        <v>0.1106423725207553</v>
      </c>
      <c r="B24" s="152">
        <f t="shared" si="12"/>
        <v>0.21891680196823377</v>
      </c>
      <c r="C24" s="156">
        <f t="shared" si="14"/>
        <v>0.155842424158357</v>
      </c>
      <c r="D24" s="156">
        <f t="shared" si="15"/>
        <v>0.14659746447405728</v>
      </c>
      <c r="E24" s="121" t="s">
        <v>369</v>
      </c>
      <c r="F24" s="71">
        <f>F27/F32</f>
        <v>0.21891680196823377</v>
      </c>
      <c r="G24" s="71">
        <f t="shared" ref="G24:K24" si="20">G27/G32</f>
        <v>0.19183809837076571</v>
      </c>
      <c r="H24" s="71">
        <f t="shared" si="20"/>
        <v>0.1575551396988501</v>
      </c>
      <c r="I24" s="71">
        <f t="shared" si="20"/>
        <v>0.12046234314227264</v>
      </c>
      <c r="J24" s="71">
        <f t="shared" si="20"/>
        <v>0.13563978924926445</v>
      </c>
      <c r="K24" s="71">
        <f t="shared" si="20"/>
        <v>0.1106423725207553</v>
      </c>
    </row>
    <row r="25" spans="1:11" ht="13.8" thickBot="1" x14ac:dyDescent="0.3">
      <c r="A25" s="152">
        <f t="shared" si="11"/>
        <v>0.44518343055389076</v>
      </c>
      <c r="B25" s="152">
        <f t="shared" si="12"/>
        <v>0.55951212120062954</v>
      </c>
      <c r="C25" s="156">
        <f t="shared" si="14"/>
        <v>0.50483136146766516</v>
      </c>
      <c r="D25" s="156">
        <f t="shared" si="15"/>
        <v>0.49780015182745818</v>
      </c>
      <c r="E25" s="49" t="s">
        <v>296</v>
      </c>
      <c r="F25" s="73">
        <f>F27/F33</f>
        <v>0.51268477817637514</v>
      </c>
      <c r="G25" s="73">
        <f t="shared" ref="G25:K25" si="21">G27/G33</f>
        <v>0.55951212120062954</v>
      </c>
      <c r="H25" s="73">
        <f t="shared" si="21"/>
        <v>0.48276335944760718</v>
      </c>
      <c r="I25" s="73">
        <f t="shared" si="21"/>
        <v>0.44518343055389076</v>
      </c>
      <c r="J25" s="73">
        <f t="shared" si="21"/>
        <v>0.54592895394894692</v>
      </c>
      <c r="K25" s="73">
        <f t="shared" si="21"/>
        <v>0.48291552547854116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F93+F86</f>
        <v>4395419.8600000003</v>
      </c>
      <c r="G27" s="76">
        <f t="shared" ref="G27:K27" si="22">G93+G86</f>
        <v>4023433.72</v>
      </c>
      <c r="H27" s="76">
        <f t="shared" si="22"/>
        <v>3194605.06</v>
      </c>
      <c r="I27" s="76">
        <f t="shared" si="22"/>
        <v>2486176.31</v>
      </c>
      <c r="J27" s="76">
        <f t="shared" si="22"/>
        <v>2814416.11</v>
      </c>
      <c r="K27" s="76">
        <f t="shared" si="22"/>
        <v>2340551.69</v>
      </c>
    </row>
    <row r="28" spans="1:11" x14ac:dyDescent="0.25">
      <c r="E28" s="43" t="s">
        <v>305</v>
      </c>
      <c r="F28" s="76">
        <f>F116</f>
        <v>750949.58</v>
      </c>
      <c r="G28" s="76">
        <f t="shared" ref="G28:K28" si="23">G116</f>
        <v>786496.19</v>
      </c>
      <c r="H28" s="76">
        <f t="shared" si="23"/>
        <v>427779.89</v>
      </c>
      <c r="I28" s="76">
        <f t="shared" si="23"/>
        <v>413350.31</v>
      </c>
      <c r="J28" s="76">
        <f t="shared" si="23"/>
        <v>560967.69999999995</v>
      </c>
      <c r="K28" s="76">
        <f t="shared" si="23"/>
        <v>373028.14</v>
      </c>
    </row>
    <row r="29" spans="1:11" x14ac:dyDescent="0.25">
      <c r="E29" s="43" t="s">
        <v>306</v>
      </c>
      <c r="F29" s="76">
        <f>F115</f>
        <v>126563.34</v>
      </c>
      <c r="G29" s="76">
        <f t="shared" ref="G29:K29" si="24">G115</f>
        <v>133849.57</v>
      </c>
      <c r="H29" s="76">
        <f t="shared" si="24"/>
        <v>94373.1</v>
      </c>
      <c r="I29" s="76">
        <f t="shared" si="24"/>
        <v>72959.289999999994</v>
      </c>
      <c r="J29" s="76">
        <f t="shared" si="24"/>
        <v>63451.79</v>
      </c>
      <c r="K29" s="76">
        <f t="shared" si="24"/>
        <v>48201.26</v>
      </c>
    </row>
    <row r="30" spans="1:11" x14ac:dyDescent="0.25">
      <c r="E30" s="43" t="s">
        <v>307</v>
      </c>
      <c r="F30" s="76">
        <f>F130</f>
        <v>5220881.91</v>
      </c>
      <c r="G30" s="76">
        <f t="shared" ref="G30:K30" si="25">G130</f>
        <v>4396251.87</v>
      </c>
      <c r="H30" s="76">
        <f t="shared" si="25"/>
        <v>4058706.63</v>
      </c>
      <c r="I30" s="76">
        <f t="shared" si="25"/>
        <v>3074070.71</v>
      </c>
      <c r="J30" s="76">
        <f t="shared" si="25"/>
        <v>2558310.91</v>
      </c>
      <c r="K30" s="76">
        <f t="shared" si="25"/>
        <v>2138453.67</v>
      </c>
    </row>
    <row r="31" spans="1:11" x14ac:dyDescent="0.25">
      <c r="E31" s="43" t="s">
        <v>303</v>
      </c>
      <c r="F31" s="76">
        <f>F120</f>
        <v>28651375.899999999</v>
      </c>
      <c r="G31" s="76">
        <f t="shared" ref="G31:K31" si="26">G120</f>
        <v>28164037.170000002</v>
      </c>
      <c r="H31" s="76">
        <f t="shared" si="26"/>
        <v>26893439.440000001</v>
      </c>
      <c r="I31" s="76">
        <f t="shared" si="26"/>
        <v>26223229.280000001</v>
      </c>
      <c r="J31" s="76">
        <f t="shared" si="26"/>
        <v>25904471.66</v>
      </c>
      <c r="K31" s="76">
        <f t="shared" si="26"/>
        <v>26000917.73</v>
      </c>
    </row>
    <row r="32" spans="1:11" x14ac:dyDescent="0.25">
      <c r="E32" s="43" t="s">
        <v>308</v>
      </c>
      <c r="F32" s="76">
        <f>F108</f>
        <v>20078037.960000001</v>
      </c>
      <c r="G32" s="76">
        <f t="shared" ref="G32:K32" si="27">G108</f>
        <v>20973069.239999998</v>
      </c>
      <c r="H32" s="76">
        <f t="shared" si="27"/>
        <v>20276108.199999999</v>
      </c>
      <c r="I32" s="76">
        <f t="shared" si="27"/>
        <v>20638618.219999999</v>
      </c>
      <c r="J32" s="76">
        <f t="shared" si="27"/>
        <v>20749192.59</v>
      </c>
      <c r="K32" s="76">
        <f t="shared" si="27"/>
        <v>21154207.350000001</v>
      </c>
    </row>
    <row r="33" spans="1:11" x14ac:dyDescent="0.25">
      <c r="E33" s="43" t="s">
        <v>309</v>
      </c>
      <c r="F33" s="76">
        <f>F114</f>
        <v>8573337.9399999995</v>
      </c>
      <c r="G33" s="76">
        <f t="shared" ref="G33:K33" si="28">G114</f>
        <v>7190967.9299999997</v>
      </c>
      <c r="H33" s="76">
        <f t="shared" si="28"/>
        <v>6617331.2400000002</v>
      </c>
      <c r="I33" s="76">
        <f t="shared" si="28"/>
        <v>5584611.0599999996</v>
      </c>
      <c r="J33" s="76">
        <f t="shared" si="28"/>
        <v>5155279.07</v>
      </c>
      <c r="K33" s="76">
        <f t="shared" si="28"/>
        <v>4846710.38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5">
      <c r="A37" s="139">
        <f t="shared" ref="A37:A41" si="29">MIN(F37:K37)</f>
        <v>8.2245315038731906E-2</v>
      </c>
      <c r="B37" s="139">
        <f t="shared" ref="B37:B41" si="30">MAX(F37:K37)</f>
        <v>0.18222098401913048</v>
      </c>
      <c r="C37" s="160">
        <f t="shared" ref="C37:C41" si="31">AVERAGE(F37:K37)</f>
        <v>0.1312442256282407</v>
      </c>
      <c r="D37" s="160">
        <f t="shared" ref="D37:D41" si="32">MEDIAN(F37:K37)</f>
        <v>0.13407255118692948</v>
      </c>
      <c r="E37" s="47" t="s">
        <v>370</v>
      </c>
      <c r="F37" s="119">
        <f>F43/F44*100%</f>
        <v>0.18222098401913048</v>
      </c>
      <c r="G37" s="119">
        <f t="shared" ref="G37:K37" si="33">G43/G44*100%</f>
        <v>0.15609452023741949</v>
      </c>
      <c r="H37" s="119">
        <f t="shared" si="33"/>
        <v>0.15091809432018116</v>
      </c>
      <c r="I37" s="119">
        <f t="shared" si="33"/>
        <v>0.11722700805367781</v>
      </c>
      <c r="J37" s="119">
        <f t="shared" si="33"/>
        <v>9.875943210030326E-2</v>
      </c>
      <c r="K37" s="119">
        <f t="shared" si="33"/>
        <v>8.2245315038731906E-2</v>
      </c>
    </row>
    <row r="38" spans="1:11" x14ac:dyDescent="0.25">
      <c r="A38" s="139">
        <f t="shared" si="29"/>
        <v>0.2780969579722436</v>
      </c>
      <c r="B38" s="139">
        <f t="shared" si="30"/>
        <v>0.59734516481995426</v>
      </c>
      <c r="C38" s="155">
        <f t="shared" si="31"/>
        <v>0.42981650560532286</v>
      </c>
      <c r="D38" s="156">
        <f t="shared" si="32"/>
        <v>0.43427558039823583</v>
      </c>
      <c r="E38" s="50" t="s">
        <v>298</v>
      </c>
      <c r="F38" s="122">
        <f>F43/F45</f>
        <v>0.59734516481995426</v>
      </c>
      <c r="G38" s="122">
        <f t="shared" ref="G38:K38" si="34">G43/G45</f>
        <v>0.51479000209797698</v>
      </c>
      <c r="H38" s="122">
        <f t="shared" si="34"/>
        <v>0.49200630884232555</v>
      </c>
      <c r="I38" s="122">
        <f t="shared" si="34"/>
        <v>0.37654485195414611</v>
      </c>
      <c r="J38" s="122">
        <f t="shared" si="34"/>
        <v>0.32011574794529096</v>
      </c>
      <c r="K38" s="122">
        <f t="shared" si="34"/>
        <v>0.2780969579722436</v>
      </c>
    </row>
    <row r="39" spans="1:11" x14ac:dyDescent="0.25">
      <c r="A39" s="139">
        <f t="shared" si="29"/>
        <v>3.2120998241440026</v>
      </c>
      <c r="B39" s="139">
        <f t="shared" si="30"/>
        <v>3.3813106295632647</v>
      </c>
      <c r="C39" s="155">
        <f t="shared" si="31"/>
        <v>3.2784902102996285</v>
      </c>
      <c r="D39" s="156">
        <f t="shared" si="32"/>
        <v>3.2691121265818968</v>
      </c>
      <c r="E39" s="50" t="s">
        <v>299</v>
      </c>
      <c r="F39" s="122">
        <f>F44/F45</f>
        <v>3.2781359843674309</v>
      </c>
      <c r="G39" s="122">
        <f t="shared" ref="G39:K39" si="35">G44/G45</f>
        <v>3.2979376938728038</v>
      </c>
      <c r="H39" s="122">
        <f t="shared" si="35"/>
        <v>3.2600882687963626</v>
      </c>
      <c r="I39" s="122">
        <f t="shared" si="35"/>
        <v>3.2120998241440026</v>
      </c>
      <c r="J39" s="122">
        <f t="shared" si="35"/>
        <v>3.24136886105391</v>
      </c>
      <c r="K39" s="122">
        <f t="shared" si="35"/>
        <v>3.3813106295632647</v>
      </c>
    </row>
    <row r="40" spans="1:11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ht="13.8" thickBot="1" x14ac:dyDescent="0.3">
      <c r="A41" s="139">
        <f t="shared" si="29"/>
        <v>29.204071771881956</v>
      </c>
      <c r="B41" s="139">
        <f t="shared" si="30"/>
        <v>2824.015745501285</v>
      </c>
      <c r="C41" s="155">
        <f t="shared" si="31"/>
        <v>784.20375815675834</v>
      </c>
      <c r="D41" s="156">
        <f t="shared" si="32"/>
        <v>231.97344338641125</v>
      </c>
      <c r="E41" s="51" t="s">
        <v>300</v>
      </c>
      <c r="F41" s="123">
        <f>(F47+F48)/F48</f>
        <v>29.204071771881956</v>
      </c>
      <c r="G41" s="123">
        <f t="shared" ref="G41:K41" si="37">(G47+G48)/G48</f>
        <v>211.11892318911032</v>
      </c>
      <c r="H41" s="123">
        <f t="shared" si="37"/>
        <v>251.60134778012682</v>
      </c>
      <c r="I41" s="123">
        <f t="shared" si="37"/>
        <v>2824.015745501285</v>
      </c>
      <c r="J41" s="123">
        <f t="shared" si="37"/>
        <v>212.34553899269571</v>
      </c>
      <c r="K41" s="123">
        <f t="shared" si="37"/>
        <v>1176.93692170545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F129+F130</f>
        <v>5220881.91</v>
      </c>
      <c r="G43" s="76">
        <f t="shared" ref="G43:K43" si="38">G129+G130</f>
        <v>4396251.87</v>
      </c>
      <c r="H43" s="76">
        <f t="shared" si="38"/>
        <v>4058706.63</v>
      </c>
      <c r="I43" s="76">
        <f t="shared" si="38"/>
        <v>3074070.71</v>
      </c>
      <c r="J43" s="76">
        <f t="shared" si="38"/>
        <v>2558310.91</v>
      </c>
      <c r="K43" s="76">
        <f t="shared" si="38"/>
        <v>2138453.67</v>
      </c>
    </row>
    <row r="44" spans="1:11" x14ac:dyDescent="0.25">
      <c r="E44" s="43" t="s">
        <v>303</v>
      </c>
      <c r="F44" s="76">
        <f>F120</f>
        <v>28651375.899999999</v>
      </c>
      <c r="G44" s="76">
        <f t="shared" ref="G44:K44" si="39">G120</f>
        <v>28164037.170000002</v>
      </c>
      <c r="H44" s="76">
        <f t="shared" si="39"/>
        <v>26893439.440000001</v>
      </c>
      <c r="I44" s="76">
        <f t="shared" si="39"/>
        <v>26223229.280000001</v>
      </c>
      <c r="J44" s="76">
        <f t="shared" si="39"/>
        <v>25904471.66</v>
      </c>
      <c r="K44" s="76">
        <f t="shared" si="39"/>
        <v>26000917.73</v>
      </c>
    </row>
    <row r="45" spans="1:11" x14ac:dyDescent="0.25">
      <c r="E45" s="43" t="s">
        <v>311</v>
      </c>
      <c r="F45" s="76">
        <f>F122</f>
        <v>8740142.5800000001</v>
      </c>
      <c r="G45" s="76">
        <f t="shared" ref="G45:K45" si="40">G122</f>
        <v>8539893.6500000004</v>
      </c>
      <c r="H45" s="76">
        <f t="shared" si="40"/>
        <v>8249297.9400000004</v>
      </c>
      <c r="I45" s="76">
        <f t="shared" si="40"/>
        <v>8163889.8899999997</v>
      </c>
      <c r="J45" s="76">
        <f t="shared" si="40"/>
        <v>7991830.8499999996</v>
      </c>
      <c r="K45" s="76">
        <f t="shared" si="40"/>
        <v>7689597.4900000002</v>
      </c>
    </row>
    <row r="46" spans="1:11" x14ac:dyDescent="0.25"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x14ac:dyDescent="0.25">
      <c r="E47" s="43" t="s">
        <v>313</v>
      </c>
      <c r="F47" s="76">
        <f>F102</f>
        <v>310539.24</v>
      </c>
      <c r="G47" s="76">
        <f t="shared" ref="G47:K47" si="42">G102</f>
        <v>207463.02</v>
      </c>
      <c r="H47" s="76">
        <f t="shared" si="42"/>
        <v>151724.07999999999</v>
      </c>
      <c r="I47" s="76">
        <f t="shared" si="42"/>
        <v>351409</v>
      </c>
      <c r="J47" s="76">
        <f t="shared" si="42"/>
        <v>375859.02</v>
      </c>
      <c r="K47" s="76">
        <f t="shared" si="42"/>
        <v>382544.04</v>
      </c>
    </row>
    <row r="48" spans="1:11" x14ac:dyDescent="0.25">
      <c r="E48" s="43" t="s">
        <v>314</v>
      </c>
      <c r="F48" s="76">
        <f>F101</f>
        <v>11010.44</v>
      </c>
      <c r="G48" s="76">
        <f t="shared" ref="G48:K48" si="43">G101</f>
        <v>987.36</v>
      </c>
      <c r="H48" s="76">
        <f t="shared" si="43"/>
        <v>605.44000000000005</v>
      </c>
      <c r="I48" s="76">
        <f t="shared" si="43"/>
        <v>124.48</v>
      </c>
      <c r="J48" s="76">
        <f t="shared" si="43"/>
        <v>1778.41</v>
      </c>
      <c r="K48" s="76">
        <f t="shared" si="43"/>
        <v>325.31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4">MIN(F52:K52)</f>
        <v>4.0248513480736776E-2</v>
      </c>
      <c r="B52" s="139">
        <f t="shared" ref="B52:B63" si="45">MAX(F52:K52)</f>
        <v>0.13369988188426726</v>
      </c>
      <c r="C52" s="160">
        <f t="shared" ref="C52:C63" si="46">AVERAGE(F52:K52)</f>
        <v>8.6997975049676504E-2</v>
      </c>
      <c r="D52" s="160">
        <f t="shared" ref="D52:D63" si="47">MEDIAN(F52:K52)</f>
        <v>8.7270344890378548E-2</v>
      </c>
      <c r="E52" s="50" t="s">
        <v>350</v>
      </c>
      <c r="F52" s="119">
        <f t="shared" ref="F52:K52" si="48">(F65/(F70+F71))*100%</f>
        <v>4.0248513480736776E-2</v>
      </c>
      <c r="G52" s="119">
        <f t="shared" si="48"/>
        <v>5.1376642905087519E-2</v>
      </c>
      <c r="H52" s="119">
        <f t="shared" si="48"/>
        <v>4.7878712391926606E-2</v>
      </c>
      <c r="I52" s="119">
        <f t="shared" si="48"/>
        <v>0.12562005276037133</v>
      </c>
      <c r="J52" s="119">
        <f t="shared" si="48"/>
        <v>0.12316404687566956</v>
      </c>
      <c r="K52" s="120">
        <f t="shared" si="48"/>
        <v>0.13369988188426726</v>
      </c>
    </row>
    <row r="53" spans="1:11" x14ac:dyDescent="0.25">
      <c r="A53" s="139">
        <f t="shared" si="44"/>
        <v>3.4163264406900679E-2</v>
      </c>
      <c r="B53" s="139">
        <f t="shared" si="45"/>
        <v>0.12448350416740857</v>
      </c>
      <c r="C53" s="160">
        <f t="shared" si="46"/>
        <v>6.6226345455820831E-2</v>
      </c>
      <c r="D53" s="160">
        <f t="shared" si="47"/>
        <v>5.6691650471274446E-2</v>
      </c>
      <c r="E53" s="50" t="s">
        <v>351</v>
      </c>
      <c r="F53" s="119">
        <f>(F66/F70)*100%</f>
        <v>3.9820466661858331E-2</v>
      </c>
      <c r="G53" s="119">
        <f t="shared" ref="G53:K53" si="49">(G66/G70)*100%</f>
        <v>3.4163264406900679E-2</v>
      </c>
      <c r="H53" s="119">
        <f t="shared" si="49"/>
        <v>3.5349965920356989E-2</v>
      </c>
      <c r="I53" s="119">
        <f t="shared" si="49"/>
        <v>8.9978037297709923E-2</v>
      </c>
      <c r="J53" s="119">
        <f t="shared" si="49"/>
        <v>0.12448350416740857</v>
      </c>
      <c r="K53" s="120">
        <f t="shared" si="49"/>
        <v>7.3562834280690562E-2</v>
      </c>
    </row>
    <row r="54" spans="1:11" x14ac:dyDescent="0.25">
      <c r="A54" s="139">
        <f t="shared" si="44"/>
        <v>4.9923420134569195E-4</v>
      </c>
      <c r="B54" s="139">
        <f t="shared" si="45"/>
        <v>1.0502868352436891E-2</v>
      </c>
      <c r="C54" s="160">
        <f t="shared" si="46"/>
        <v>3.8442239660436508E-3</v>
      </c>
      <c r="D54" s="160">
        <f t="shared" si="47"/>
        <v>2.9696783759409666E-3</v>
      </c>
      <c r="E54" s="50" t="s">
        <v>342</v>
      </c>
      <c r="F54" s="119">
        <f>(F67/SUM(F72:F74))*100%</f>
        <v>4.9923420134569195E-4</v>
      </c>
      <c r="G54" s="119">
        <f t="shared" ref="G54:K54" si="50">(G67/SUM(G72:G74))*100%</f>
        <v>3.6050427536396925E-3</v>
      </c>
      <c r="H54" s="119">
        <f t="shared" si="50"/>
        <v>2.3343139982422412E-3</v>
      </c>
      <c r="I54" s="119">
        <f t="shared" si="50"/>
        <v>5.5395915513797916E-3</v>
      </c>
      <c r="J54" s="119">
        <f t="shared" si="50"/>
        <v>5.8429293921759458E-4</v>
      </c>
      <c r="K54" s="120">
        <f t="shared" si="50"/>
        <v>1.0502868352436891E-2</v>
      </c>
    </row>
    <row r="55" spans="1:11" x14ac:dyDescent="0.25">
      <c r="A55" s="139">
        <f t="shared" si="44"/>
        <v>8.3189144686067137E-4</v>
      </c>
      <c r="B55" s="139">
        <f t="shared" si="45"/>
        <v>1.4287960171415129E-2</v>
      </c>
      <c r="C55" s="160">
        <f t="shared" si="46"/>
        <v>6.4792072614981476E-3</v>
      </c>
      <c r="D55" s="160">
        <f t="shared" si="47"/>
        <v>6.5634090145171168E-3</v>
      </c>
      <c r="E55" s="50" t="s">
        <v>343</v>
      </c>
      <c r="F55" s="119">
        <f>((F72-F76)/F76)*100%</f>
        <v>6.1263326461208556E-3</v>
      </c>
      <c r="G55" s="119">
        <f t="shared" ref="G55:K57" si="51">((G72-G76)/G76)*100%</f>
        <v>7.000485382913378E-3</v>
      </c>
      <c r="H55" s="119">
        <f t="shared" si="51"/>
        <v>2.7420112815333816E-3</v>
      </c>
      <c r="I55" s="119">
        <f t="shared" si="51"/>
        <v>7.8865626401454694E-3</v>
      </c>
      <c r="J55" s="119">
        <f t="shared" si="51"/>
        <v>8.3189144686067137E-4</v>
      </c>
      <c r="K55" s="120">
        <f t="shared" si="51"/>
        <v>1.4287960171415129E-2</v>
      </c>
    </row>
    <row r="56" spans="1:11" x14ac:dyDescent="0.25">
      <c r="A56" s="139">
        <f t="shared" si="44"/>
        <v>0</v>
      </c>
      <c r="B56" s="139">
        <f t="shared" si="45"/>
        <v>7.8152513543688715E-3</v>
      </c>
      <c r="C56" s="160">
        <f t="shared" si="46"/>
        <v>4.2720039055953877E-3</v>
      </c>
      <c r="D56" s="160">
        <f t="shared" si="47"/>
        <v>5.0007603624172905E-3</v>
      </c>
      <c r="E56" s="50" t="s">
        <v>344</v>
      </c>
      <c r="F56" s="177"/>
      <c r="G56" s="177"/>
      <c r="H56" s="177"/>
      <c r="I56" s="119">
        <f t="shared" si="51"/>
        <v>0</v>
      </c>
      <c r="J56" s="119">
        <f t="shared" si="51"/>
        <v>5.0007603624172905E-3</v>
      </c>
      <c r="K56" s="120">
        <f t="shared" si="51"/>
        <v>7.8152513543688715E-3</v>
      </c>
    </row>
    <row r="57" spans="1:11" x14ac:dyDescent="0.25">
      <c r="A57" s="139">
        <f t="shared" si="44"/>
        <v>-2.420417014642804E-2</v>
      </c>
      <c r="B57" s="139">
        <f t="shared" si="45"/>
        <v>7.9277604481335596E-4</v>
      </c>
      <c r="C57" s="160">
        <f t="shared" si="46"/>
        <v>-6.3776019804688061E-3</v>
      </c>
      <c r="D57" s="160">
        <f t="shared" si="47"/>
        <v>-1.6590576449473191E-3</v>
      </c>
      <c r="E57" s="50" t="s">
        <v>346</v>
      </c>
      <c r="F57" s="119">
        <f>((F74-F78)/F78)*100%</f>
        <v>-2.420417014642804E-2</v>
      </c>
      <c r="G57" s="119">
        <f t="shared" si="51"/>
        <v>-1.1235105331332431E-2</v>
      </c>
      <c r="H57" s="119">
        <f t="shared" si="51"/>
        <v>7.9277604481335596E-4</v>
      </c>
      <c r="I57" s="119">
        <f t="shared" si="51"/>
        <v>-2.9227454452169944E-3</v>
      </c>
      <c r="J57" s="119">
        <f t="shared" si="51"/>
        <v>-3.9536984467764365E-4</v>
      </c>
      <c r="K57" s="120">
        <f t="shared" si="51"/>
        <v>-3.0099715997108077E-4</v>
      </c>
    </row>
    <row r="58" spans="1:11" x14ac:dyDescent="0.25">
      <c r="A58" s="139">
        <f t="shared" si="44"/>
        <v>6.9947925676833974E-3</v>
      </c>
      <c r="B58" s="139">
        <f t="shared" si="45"/>
        <v>2.3009964238457754E-2</v>
      </c>
      <c r="C58" s="155">
        <f t="shared" si="46"/>
        <v>1.453967929448865E-2</v>
      </c>
      <c r="D58" s="156">
        <f t="shared" si="47"/>
        <v>1.4497214046526014E-2</v>
      </c>
      <c r="E58" s="50" t="s">
        <v>356</v>
      </c>
      <c r="F58" s="71">
        <f>F68/(F70+F71+F72+F73+F74+F75)</f>
        <v>1.1114124282659347E-2</v>
      </c>
      <c r="G58" s="71">
        <f t="shared" ref="G58:K58" si="52">G68/(G70+G71+G72+G73+G74)</f>
        <v>8.3233195245858409E-3</v>
      </c>
      <c r="H58" s="71">
        <f t="shared" si="52"/>
        <v>6.9947925676833974E-3</v>
      </c>
      <c r="I58" s="71">
        <f t="shared" si="52"/>
        <v>1.788030381039268E-2</v>
      </c>
      <c r="J58" s="71">
        <f t="shared" si="52"/>
        <v>1.9915571343152902E-2</v>
      </c>
      <c r="K58" s="72">
        <f t="shared" si="52"/>
        <v>2.3009964238457754E-2</v>
      </c>
    </row>
    <row r="59" spans="1:11" x14ac:dyDescent="0.25">
      <c r="A59" s="139">
        <f t="shared" si="44"/>
        <v>6.9946553381941834E-3</v>
      </c>
      <c r="B59" s="139">
        <f t="shared" si="45"/>
        <v>2.2972006098862918E-2</v>
      </c>
      <c r="C59" s="155">
        <f t="shared" si="46"/>
        <v>1.4526325393132053E-2</v>
      </c>
      <c r="D59" s="156">
        <f t="shared" si="47"/>
        <v>1.4490302292186142E-2</v>
      </c>
      <c r="E59" s="50" t="s">
        <v>361</v>
      </c>
      <c r="F59" s="71">
        <f>F69/(F70+F71+F72+F73+F74+F75)</f>
        <v>1.1114124282659347E-2</v>
      </c>
      <c r="G59" s="71">
        <f t="shared" ref="G59:K59" si="53">G69/(G70+G71+G72+G73+G74+G75)</f>
        <v>8.3225023635386131E-3</v>
      </c>
      <c r="H59" s="71">
        <f t="shared" si="53"/>
        <v>6.9946553381941834E-3</v>
      </c>
      <c r="I59" s="71">
        <f t="shared" si="53"/>
        <v>1.7866480301712936E-2</v>
      </c>
      <c r="J59" s="71">
        <f t="shared" si="53"/>
        <v>1.9888183973824313E-2</v>
      </c>
      <c r="K59" s="72">
        <f t="shared" si="53"/>
        <v>2.2972006098862918E-2</v>
      </c>
    </row>
    <row r="60" spans="1:11" ht="26.4" x14ac:dyDescent="0.25">
      <c r="A60" s="139">
        <f t="shared" si="44"/>
        <v>5.7122834861913817E-3</v>
      </c>
      <c r="B60" s="139">
        <f t="shared" si="45"/>
        <v>1.3680608686075785E-2</v>
      </c>
      <c r="C60" s="160">
        <f t="shared" si="46"/>
        <v>9.5506720216651086E-3</v>
      </c>
      <c r="D60" s="160">
        <f t="shared" si="47"/>
        <v>9.6917264612595908E-3</v>
      </c>
      <c r="E60" s="50" t="s">
        <v>372</v>
      </c>
      <c r="F60" s="119">
        <f>F65/F79*100%</f>
        <v>6.3194521837954742E-3</v>
      </c>
      <c r="G60" s="119">
        <f t="shared" ref="G60:K60" si="54">G65/G79*100%</f>
        <v>7.3424267533730141E-3</v>
      </c>
      <c r="H60" s="119">
        <f t="shared" si="54"/>
        <v>5.7122834861913817E-3</v>
      </c>
      <c r="I60" s="119">
        <f t="shared" si="54"/>
        <v>1.2041026169146167E-2</v>
      </c>
      <c r="J60" s="119">
        <f t="shared" si="54"/>
        <v>1.3680608686075785E-2</v>
      </c>
      <c r="K60" s="120">
        <f t="shared" si="54"/>
        <v>1.2208234851408839E-2</v>
      </c>
    </row>
    <row r="61" spans="1:11" x14ac:dyDescent="0.25">
      <c r="A61" s="139">
        <f t="shared" si="44"/>
        <v>5.6416763031928493E-3</v>
      </c>
      <c r="B61" s="139">
        <f t="shared" si="45"/>
        <v>1.4707713165015271E-2</v>
      </c>
      <c r="C61" s="155">
        <f t="shared" si="46"/>
        <v>1.1077379306395574E-2</v>
      </c>
      <c r="D61" s="156">
        <f t="shared" si="47"/>
        <v>1.2119610740999338E-2</v>
      </c>
      <c r="E61" s="50" t="s">
        <v>373</v>
      </c>
      <c r="F61" s="71">
        <f>F69/F79</f>
        <v>1.0838545453588496E-2</v>
      </c>
      <c r="G61" s="71">
        <f t="shared" ref="G61:K61" si="55">G69/G79</f>
        <v>7.3662386804753668E-3</v>
      </c>
      <c r="H61" s="71">
        <f t="shared" si="55"/>
        <v>5.6416763031928493E-3</v>
      </c>
      <c r="I61" s="71">
        <f t="shared" si="55"/>
        <v>1.3400676028410181E-2</v>
      </c>
      <c r="J61" s="71">
        <f t="shared" si="55"/>
        <v>1.450942620769128E-2</v>
      </c>
      <c r="K61" s="72">
        <f t="shared" si="55"/>
        <v>1.4707713165015271E-2</v>
      </c>
    </row>
    <row r="62" spans="1:11" x14ac:dyDescent="0.25">
      <c r="A62" s="139">
        <f t="shared" si="44"/>
        <v>1.3689550410395285E-2</v>
      </c>
      <c r="B62" s="139">
        <f t="shared" si="45"/>
        <v>4.3696256409130586E-2</v>
      </c>
      <c r="C62" s="155">
        <f t="shared" si="46"/>
        <v>2.6447194664781602E-2</v>
      </c>
      <c r="D62" s="156">
        <f t="shared" si="47"/>
        <v>2.4835831013150022E-2</v>
      </c>
      <c r="E62" s="50" t="s">
        <v>374</v>
      </c>
      <c r="F62" s="71">
        <f>F69/F80</f>
        <v>3.5530225869610466E-2</v>
      </c>
      <c r="G62" s="71">
        <f>G66/G80</f>
        <v>1.6095473273253232E-2</v>
      </c>
      <c r="H62" s="71">
        <f>H66/H80</f>
        <v>1.3689550410395285E-2</v>
      </c>
      <c r="I62" s="71">
        <f>I66/I80</f>
        <v>2.7383618962553157E-2</v>
      </c>
      <c r="J62" s="71">
        <f>J66/J80</f>
        <v>4.3696256409130586E-2</v>
      </c>
      <c r="K62" s="72">
        <f>K66/K80</f>
        <v>2.2288043063746887E-2</v>
      </c>
    </row>
    <row r="63" spans="1:11" ht="13.8" thickBot="1" x14ac:dyDescent="0.3">
      <c r="A63" s="139">
        <f t="shared" si="44"/>
        <v>1.8622548381371711E-2</v>
      </c>
      <c r="B63" s="139">
        <f t="shared" si="45"/>
        <v>4.4343898995309695E-2</v>
      </c>
      <c r="C63" s="155">
        <f t="shared" si="46"/>
        <v>3.130902487467014E-2</v>
      </c>
      <c r="D63" s="156">
        <f t="shared" si="47"/>
        <v>3.1445921997438356E-2</v>
      </c>
      <c r="E63" s="51" t="s">
        <v>302</v>
      </c>
      <c r="F63" s="73">
        <f t="shared" ref="F63:K63" si="56">F65/(F80+F81)</f>
        <v>2.0716023605189288E-2</v>
      </c>
      <c r="G63" s="73">
        <f t="shared" si="56"/>
        <v>2.4214865954448977E-2</v>
      </c>
      <c r="H63" s="73">
        <f t="shared" si="56"/>
        <v>1.8622548381371711E-2</v>
      </c>
      <c r="I63" s="73">
        <f t="shared" si="56"/>
        <v>3.8676978040427738E-2</v>
      </c>
      <c r="J63" s="73">
        <f t="shared" si="56"/>
        <v>4.4343898995309695E-2</v>
      </c>
      <c r="K63" s="74">
        <f t="shared" si="56"/>
        <v>4.1279834271273408E-2</v>
      </c>
    </row>
    <row r="64" spans="1:11" x14ac:dyDescent="0.25">
      <c r="F64" s="43"/>
      <c r="G64" s="43"/>
      <c r="H64" s="43"/>
      <c r="I64" s="43"/>
      <c r="J64" s="43"/>
      <c r="K64" s="43"/>
    </row>
    <row r="65" spans="5:11" x14ac:dyDescent="0.25">
      <c r="E65" s="52" t="s">
        <v>360</v>
      </c>
      <c r="F65" s="76">
        <f>F97</f>
        <v>181061</v>
      </c>
      <c r="G65" s="76">
        <f t="shared" ref="G65:K65" si="57">G97</f>
        <v>206792.38</v>
      </c>
      <c r="H65" s="76">
        <f t="shared" si="57"/>
        <v>153622.95000000001</v>
      </c>
      <c r="I65" s="76">
        <f t="shared" si="57"/>
        <v>315754.59000000003</v>
      </c>
      <c r="J65" s="76">
        <f t="shared" si="57"/>
        <v>354388.94</v>
      </c>
      <c r="K65" s="76">
        <f t="shared" si="57"/>
        <v>317425.31</v>
      </c>
    </row>
    <row r="66" spans="5:11" ht="26.4" x14ac:dyDescent="0.25">
      <c r="E66" s="52" t="s">
        <v>352</v>
      </c>
      <c r="F66" s="76">
        <f>F95</f>
        <v>175027.67</v>
      </c>
      <c r="G66" s="76">
        <f t="shared" ref="G66:K66" si="58">G95</f>
        <v>137453.63</v>
      </c>
      <c r="H66" s="76">
        <f t="shared" si="58"/>
        <v>112929.18</v>
      </c>
      <c r="I66" s="76">
        <f t="shared" si="58"/>
        <v>223556.85</v>
      </c>
      <c r="J66" s="76">
        <f t="shared" si="58"/>
        <v>349213.09</v>
      </c>
      <c r="K66" s="76">
        <f t="shared" si="58"/>
        <v>171386.08</v>
      </c>
    </row>
    <row r="67" spans="5:11" x14ac:dyDescent="0.25">
      <c r="E67" s="43" t="s">
        <v>345</v>
      </c>
      <c r="F67" s="76">
        <f>F92</f>
        <v>11684.2</v>
      </c>
      <c r="G67" s="76">
        <f t="shared" ref="G67:K67" si="59">G92</f>
        <v>75347.149999999994</v>
      </c>
      <c r="H67" s="76">
        <f t="shared" si="59"/>
        <v>43143.77</v>
      </c>
      <c r="I67" s="76">
        <f t="shared" si="59"/>
        <v>94947.74</v>
      </c>
      <c r="J67" s="76">
        <f t="shared" si="59"/>
        <v>9345.91</v>
      </c>
      <c r="K67" s="76">
        <f t="shared" si="59"/>
        <v>149676.21</v>
      </c>
    </row>
    <row r="68" spans="5:11" x14ac:dyDescent="0.25">
      <c r="E68" s="43" t="s">
        <v>341</v>
      </c>
      <c r="F68" s="76">
        <f>F102</f>
        <v>310539.24</v>
      </c>
      <c r="G68" s="76">
        <f t="shared" ref="G68:K68" si="60">G102</f>
        <v>207463.02</v>
      </c>
      <c r="H68" s="76">
        <f t="shared" si="60"/>
        <v>151724.07999999999</v>
      </c>
      <c r="I68" s="76">
        <f t="shared" si="60"/>
        <v>351409</v>
      </c>
      <c r="J68" s="76">
        <f t="shared" si="60"/>
        <v>375859.02</v>
      </c>
      <c r="K68" s="76">
        <f t="shared" si="60"/>
        <v>382544.04</v>
      </c>
    </row>
    <row r="69" spans="5:11" x14ac:dyDescent="0.25">
      <c r="E69" s="43" t="s">
        <v>315</v>
      </c>
      <c r="F69" s="76">
        <f>F104</f>
        <v>310539.24</v>
      </c>
      <c r="G69" s="76">
        <f t="shared" ref="G69:K69" si="61">G104</f>
        <v>207463.02</v>
      </c>
      <c r="H69" s="76">
        <f t="shared" si="61"/>
        <v>151724.07999999999</v>
      </c>
      <c r="I69" s="76">
        <f t="shared" si="61"/>
        <v>351409</v>
      </c>
      <c r="J69" s="76">
        <f t="shared" si="61"/>
        <v>375859.02</v>
      </c>
      <c r="K69" s="76">
        <f t="shared" si="61"/>
        <v>382414.04</v>
      </c>
    </row>
    <row r="70" spans="5:11" x14ac:dyDescent="0.25">
      <c r="E70" s="43" t="s">
        <v>358</v>
      </c>
      <c r="F70" s="76">
        <f>F93</f>
        <v>4395419.8600000003</v>
      </c>
      <c r="G70" s="76">
        <f t="shared" ref="G70:K70" si="62">G93</f>
        <v>4023433.72</v>
      </c>
      <c r="H70" s="76">
        <f t="shared" si="62"/>
        <v>3194605.06</v>
      </c>
      <c r="I70" s="76">
        <f t="shared" si="62"/>
        <v>2484571.31</v>
      </c>
      <c r="J70" s="76">
        <f t="shared" si="62"/>
        <v>2805296.11</v>
      </c>
      <c r="K70" s="76">
        <f t="shared" si="62"/>
        <v>2329791.69</v>
      </c>
    </row>
    <row r="71" spans="5:11" x14ac:dyDescent="0.25">
      <c r="E71" s="43" t="s">
        <v>359</v>
      </c>
      <c r="F71" s="76">
        <f>F98</f>
        <v>103156.22</v>
      </c>
      <c r="G71" s="76">
        <f t="shared" ref="G71:K71" si="63">G98</f>
        <v>1593.38</v>
      </c>
      <c r="H71" s="76">
        <f t="shared" si="63"/>
        <v>13980.6</v>
      </c>
      <c r="I71" s="76">
        <f t="shared" si="63"/>
        <v>28997.05</v>
      </c>
      <c r="J71" s="76">
        <f t="shared" si="63"/>
        <v>72077.19</v>
      </c>
      <c r="K71" s="76">
        <f t="shared" si="63"/>
        <v>44371.29</v>
      </c>
    </row>
    <row r="72" spans="5:11" x14ac:dyDescent="0.25">
      <c r="E72" s="43" t="s">
        <v>347</v>
      </c>
      <c r="F72" s="76">
        <f>F85</f>
        <v>19169548.32</v>
      </c>
      <c r="G72" s="76">
        <f t="shared" ref="G72:K74" si="64">G85</f>
        <v>17081167.579999998</v>
      </c>
      <c r="H72" s="76">
        <f t="shared" si="64"/>
        <v>14674355.85</v>
      </c>
      <c r="I72" s="76">
        <f t="shared" si="64"/>
        <v>13497867.73</v>
      </c>
      <c r="J72" s="76">
        <f t="shared" si="64"/>
        <v>12735900.23</v>
      </c>
      <c r="K72" s="76">
        <f t="shared" si="64"/>
        <v>10695211.5</v>
      </c>
    </row>
    <row r="73" spans="5:11" x14ac:dyDescent="0.25"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1605</v>
      </c>
      <c r="J73" s="76">
        <f t="shared" si="64"/>
        <v>9120</v>
      </c>
      <c r="K73" s="76">
        <f t="shared" si="64"/>
        <v>10760</v>
      </c>
    </row>
    <row r="74" spans="5:11" x14ac:dyDescent="0.25">
      <c r="E74" s="43" t="s">
        <v>349</v>
      </c>
      <c r="F74" s="76">
        <f>F87</f>
        <v>4234697.5599999996</v>
      </c>
      <c r="G74" s="76">
        <f t="shared" si="64"/>
        <v>3819319.64</v>
      </c>
      <c r="H74" s="76">
        <f t="shared" si="64"/>
        <v>3808063.41</v>
      </c>
      <c r="I74" s="76">
        <f t="shared" si="64"/>
        <v>3640372.17</v>
      </c>
      <c r="J74" s="76">
        <f t="shared" si="64"/>
        <v>3250226.97</v>
      </c>
      <c r="K74" s="76">
        <f t="shared" si="64"/>
        <v>3545012.61</v>
      </c>
    </row>
    <row r="75" spans="5:11" x14ac:dyDescent="0.25">
      <c r="E75" s="43" t="s">
        <v>357</v>
      </c>
      <c r="F75" s="43">
        <f>F100</f>
        <v>38132.46</v>
      </c>
      <c r="G75" s="43">
        <f t="shared" ref="G75:K75" si="65">G100</f>
        <v>2447.36</v>
      </c>
      <c r="H75" s="43">
        <f t="shared" si="65"/>
        <v>425.56</v>
      </c>
      <c r="I75" s="43">
        <f t="shared" si="65"/>
        <v>15206.08</v>
      </c>
      <c r="J75" s="43">
        <f t="shared" si="65"/>
        <v>25988.87</v>
      </c>
      <c r="K75" s="43">
        <f t="shared" si="65"/>
        <v>21811.75</v>
      </c>
    </row>
    <row r="76" spans="5:11" x14ac:dyDescent="0.25">
      <c r="E76" s="43" t="s">
        <v>353</v>
      </c>
      <c r="F76" s="76">
        <f>F89</f>
        <v>19052824.379999999</v>
      </c>
      <c r="G76" s="76">
        <f t="shared" ref="G76:K78" si="66">G89</f>
        <v>16962422.390000001</v>
      </c>
      <c r="H76" s="76">
        <f t="shared" si="66"/>
        <v>14634228.630000001</v>
      </c>
      <c r="I76" s="76">
        <f t="shared" si="66"/>
        <v>13392248.92</v>
      </c>
      <c r="J76" s="76">
        <f t="shared" si="66"/>
        <v>12725314.15</v>
      </c>
      <c r="K76" s="76">
        <f t="shared" si="66"/>
        <v>10544551.369999999</v>
      </c>
    </row>
    <row r="77" spans="5:11" x14ac:dyDescent="0.25"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1605</v>
      </c>
      <c r="J77" s="76">
        <f t="shared" si="66"/>
        <v>9074.6200000000008</v>
      </c>
      <c r="K77" s="76">
        <f t="shared" si="66"/>
        <v>10676.56</v>
      </c>
    </row>
    <row r="78" spans="5:11" x14ac:dyDescent="0.25">
      <c r="E78" s="43" t="s">
        <v>355</v>
      </c>
      <c r="F78" s="76">
        <f>F91</f>
        <v>4339737.3</v>
      </c>
      <c r="G78" s="76">
        <f t="shared" si="66"/>
        <v>3862717.68</v>
      </c>
      <c r="H78" s="76">
        <f t="shared" si="66"/>
        <v>3805046.86</v>
      </c>
      <c r="I78" s="76">
        <f t="shared" si="66"/>
        <v>3651043.24</v>
      </c>
      <c r="J78" s="76">
        <f t="shared" si="66"/>
        <v>3251512.52</v>
      </c>
      <c r="K78" s="76">
        <f t="shared" si="66"/>
        <v>3546079.97</v>
      </c>
    </row>
    <row r="79" spans="5:11" x14ac:dyDescent="0.25">
      <c r="E79" s="43" t="s">
        <v>316</v>
      </c>
      <c r="F79" s="76">
        <f>F120</f>
        <v>28651375.899999999</v>
      </c>
      <c r="G79" s="76">
        <f t="shared" ref="G79:K79" si="67">G120</f>
        <v>28164037.170000002</v>
      </c>
      <c r="H79" s="76">
        <f t="shared" si="67"/>
        <v>26893439.440000001</v>
      </c>
      <c r="I79" s="76">
        <f t="shared" si="67"/>
        <v>26223229.280000001</v>
      </c>
      <c r="J79" s="76">
        <f t="shared" si="67"/>
        <v>25904471.66</v>
      </c>
      <c r="K79" s="76">
        <f t="shared" si="67"/>
        <v>26000917.73</v>
      </c>
    </row>
    <row r="80" spans="5:11" x14ac:dyDescent="0.25">
      <c r="E80" s="43" t="s">
        <v>311</v>
      </c>
      <c r="F80" s="76">
        <f>F122</f>
        <v>8740142.5800000001</v>
      </c>
      <c r="G80" s="76">
        <f t="shared" ref="G80:K80" si="68">G122</f>
        <v>8539893.6500000004</v>
      </c>
      <c r="H80" s="76">
        <f t="shared" si="68"/>
        <v>8249297.9400000004</v>
      </c>
      <c r="I80" s="76">
        <f t="shared" si="68"/>
        <v>8163889.8899999997</v>
      </c>
      <c r="J80" s="76">
        <f t="shared" si="68"/>
        <v>7991830.8499999996</v>
      </c>
      <c r="K80" s="76">
        <f t="shared" si="68"/>
        <v>7689597.4900000002</v>
      </c>
    </row>
    <row r="81" spans="5:11" x14ac:dyDescent="0.25"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55" t="s">
        <v>319</v>
      </c>
      <c r="F83" s="78">
        <v>2023</v>
      </c>
      <c r="G83" s="78">
        <v>2022</v>
      </c>
      <c r="H83" s="78">
        <v>2021</v>
      </c>
      <c r="I83" s="78">
        <v>2020</v>
      </c>
      <c r="J83" s="78">
        <v>2019</v>
      </c>
      <c r="K83" s="78">
        <v>2018</v>
      </c>
    </row>
    <row r="84" spans="5:11" x14ac:dyDescent="0.25">
      <c r="E84" s="38" t="s">
        <v>23</v>
      </c>
      <c r="F84" s="56">
        <v>23404245.879999999</v>
      </c>
      <c r="G84" s="56">
        <v>20900487.219999999</v>
      </c>
      <c r="H84" s="56">
        <v>18482419.260000002</v>
      </c>
      <c r="I84" s="56">
        <v>17139844.899999999</v>
      </c>
      <c r="J84" s="56">
        <v>15995247.199999999</v>
      </c>
      <c r="K84" s="56">
        <v>14250984.109999999</v>
      </c>
    </row>
    <row r="85" spans="5:11" x14ac:dyDescent="0.25">
      <c r="E85" s="38" t="s">
        <v>3</v>
      </c>
      <c r="F85" s="58">
        <v>19169548.32</v>
      </c>
      <c r="G85" s="58">
        <v>17081167.579999998</v>
      </c>
      <c r="H85" s="58">
        <v>14674355.85</v>
      </c>
      <c r="I85" s="58">
        <v>13497867.73</v>
      </c>
      <c r="J85" s="58">
        <v>12735900.23</v>
      </c>
      <c r="K85" s="58">
        <v>10695211.5</v>
      </c>
    </row>
    <row r="86" spans="5:11" x14ac:dyDescent="0.25">
      <c r="E86" s="38" t="s">
        <v>4</v>
      </c>
      <c r="F86" s="69">
        <v>0</v>
      </c>
      <c r="G86" s="69">
        <v>0</v>
      </c>
      <c r="H86" s="69">
        <v>0</v>
      </c>
      <c r="I86" s="58">
        <v>1605</v>
      </c>
      <c r="J86" s="58">
        <v>9120</v>
      </c>
      <c r="K86" s="58">
        <v>10760</v>
      </c>
    </row>
    <row r="87" spans="5:11" x14ac:dyDescent="0.25">
      <c r="E87" s="38" t="s">
        <v>5</v>
      </c>
      <c r="F87" s="58">
        <v>4234697.5599999996</v>
      </c>
      <c r="G87" s="58">
        <v>3819319.64</v>
      </c>
      <c r="H87" s="58">
        <v>3808063.41</v>
      </c>
      <c r="I87" s="58">
        <v>3640372.17</v>
      </c>
      <c r="J87" s="58">
        <v>3250226.97</v>
      </c>
      <c r="K87" s="58">
        <v>3545012.61</v>
      </c>
    </row>
    <row r="88" spans="5:11" x14ac:dyDescent="0.25">
      <c r="E88" s="38" t="s">
        <v>6</v>
      </c>
      <c r="F88" s="56">
        <v>23392561.68</v>
      </c>
      <c r="G88" s="56">
        <v>20825140.07</v>
      </c>
      <c r="H88" s="56">
        <v>18439275.489999998</v>
      </c>
      <c r="I88" s="56">
        <v>17044897.16</v>
      </c>
      <c r="J88" s="56">
        <v>15985901.289999999</v>
      </c>
      <c r="K88" s="56">
        <v>14101307.9</v>
      </c>
    </row>
    <row r="89" spans="5:11" x14ac:dyDescent="0.25">
      <c r="E89" s="38" t="s">
        <v>7</v>
      </c>
      <c r="F89" s="58">
        <v>19052824.379999999</v>
      </c>
      <c r="G89" s="58">
        <v>16962422.390000001</v>
      </c>
      <c r="H89" s="58">
        <v>14634228.630000001</v>
      </c>
      <c r="I89" s="58">
        <v>13392248.92</v>
      </c>
      <c r="J89" s="58">
        <v>12725314.15</v>
      </c>
      <c r="K89" s="58">
        <v>10544551.369999999</v>
      </c>
    </row>
    <row r="90" spans="5:11" x14ac:dyDescent="0.25">
      <c r="E90" s="38" t="s">
        <v>8</v>
      </c>
      <c r="F90" s="69">
        <v>0</v>
      </c>
      <c r="G90" s="69">
        <v>0</v>
      </c>
      <c r="H90" s="69">
        <v>0</v>
      </c>
      <c r="I90" s="58">
        <v>1605</v>
      </c>
      <c r="J90" s="58">
        <v>9074.6200000000008</v>
      </c>
      <c r="K90" s="58">
        <v>10676.56</v>
      </c>
    </row>
    <row r="91" spans="5:11" x14ac:dyDescent="0.25">
      <c r="E91" s="38" t="s">
        <v>9</v>
      </c>
      <c r="F91" s="58">
        <v>4339737.3</v>
      </c>
      <c r="G91" s="58">
        <v>3862717.68</v>
      </c>
      <c r="H91" s="58">
        <v>3805046.86</v>
      </c>
      <c r="I91" s="58">
        <v>3651043.24</v>
      </c>
      <c r="J91" s="58">
        <v>3251512.52</v>
      </c>
      <c r="K91" s="58">
        <v>3546079.97</v>
      </c>
    </row>
    <row r="92" spans="5:11" x14ac:dyDescent="0.25">
      <c r="E92" s="38" t="s">
        <v>10</v>
      </c>
      <c r="F92" s="56">
        <v>11684.2</v>
      </c>
      <c r="G92" s="56">
        <v>75347.149999999994</v>
      </c>
      <c r="H92" s="56">
        <v>43143.77</v>
      </c>
      <c r="I92" s="56">
        <v>94947.74</v>
      </c>
      <c r="J92" s="56">
        <v>9345.91</v>
      </c>
      <c r="K92" s="56">
        <v>149676.21</v>
      </c>
    </row>
    <row r="93" spans="5:11" x14ac:dyDescent="0.25">
      <c r="E93" s="38" t="s">
        <v>11</v>
      </c>
      <c r="F93" s="56">
        <v>4395419.8600000003</v>
      </c>
      <c r="G93" s="56">
        <v>4023433.72</v>
      </c>
      <c r="H93" s="56">
        <v>3194605.06</v>
      </c>
      <c r="I93" s="56">
        <v>2484571.31</v>
      </c>
      <c r="J93" s="56">
        <v>2805296.11</v>
      </c>
      <c r="K93" s="56">
        <v>2329791.69</v>
      </c>
    </row>
    <row r="94" spans="5:11" x14ac:dyDescent="0.25">
      <c r="E94" s="38" t="s">
        <v>12</v>
      </c>
      <c r="F94" s="56">
        <v>4220392.1900000004</v>
      </c>
      <c r="G94" s="56">
        <v>3885980.09</v>
      </c>
      <c r="H94" s="56">
        <v>3081675.88</v>
      </c>
      <c r="I94" s="56">
        <v>2261014.46</v>
      </c>
      <c r="J94" s="56">
        <v>2456083.02</v>
      </c>
      <c r="K94" s="56">
        <v>2158405.61</v>
      </c>
    </row>
    <row r="95" spans="5:11" x14ac:dyDescent="0.25">
      <c r="E95" s="38" t="s">
        <v>13</v>
      </c>
      <c r="F95" s="56">
        <v>175027.67</v>
      </c>
      <c r="G95" s="56">
        <v>137453.63</v>
      </c>
      <c r="H95" s="56">
        <v>112929.18</v>
      </c>
      <c r="I95" s="56">
        <v>223556.85</v>
      </c>
      <c r="J95" s="56">
        <v>349213.09</v>
      </c>
      <c r="K95" s="56">
        <v>171386.08</v>
      </c>
    </row>
    <row r="96" spans="5:11" x14ac:dyDescent="0.25">
      <c r="E96" s="38" t="s">
        <v>14</v>
      </c>
      <c r="F96" s="56">
        <v>5650.87</v>
      </c>
      <c r="G96" s="56">
        <v>6008.4</v>
      </c>
      <c r="H96" s="56">
        <v>2450</v>
      </c>
      <c r="I96" s="56">
        <v>2750</v>
      </c>
      <c r="J96" s="56">
        <v>4170.0600000000004</v>
      </c>
      <c r="K96" s="56">
        <v>3636.98</v>
      </c>
    </row>
    <row r="97" spans="5:11" x14ac:dyDescent="0.25">
      <c r="E97" s="38" t="s">
        <v>15</v>
      </c>
      <c r="F97" s="56">
        <v>181061</v>
      </c>
      <c r="G97" s="56">
        <v>206792.38</v>
      </c>
      <c r="H97" s="56">
        <v>153622.95000000001</v>
      </c>
      <c r="I97" s="56">
        <v>315754.59000000003</v>
      </c>
      <c r="J97" s="56">
        <v>354388.94</v>
      </c>
      <c r="K97" s="56">
        <v>317425.31</v>
      </c>
    </row>
    <row r="98" spans="5:11" x14ac:dyDescent="0.25">
      <c r="E98" s="38" t="s">
        <v>16</v>
      </c>
      <c r="F98" s="56">
        <v>103156.22</v>
      </c>
      <c r="G98" s="56">
        <v>1593.38</v>
      </c>
      <c r="H98" s="56">
        <v>13980.6</v>
      </c>
      <c r="I98" s="56">
        <v>28997.05</v>
      </c>
      <c r="J98" s="56">
        <v>72077.19</v>
      </c>
      <c r="K98" s="56">
        <v>44371.29</v>
      </c>
    </row>
    <row r="99" spans="5:11" x14ac:dyDescent="0.25">
      <c r="E99" s="38" t="s">
        <v>17</v>
      </c>
      <c r="F99" s="64">
        <v>800</v>
      </c>
      <c r="G99" s="56">
        <v>2382.7399999999998</v>
      </c>
      <c r="H99" s="56">
        <v>15699.59</v>
      </c>
      <c r="I99" s="56">
        <v>8424.24</v>
      </c>
      <c r="J99" s="56">
        <v>74817.570000000007</v>
      </c>
      <c r="K99" s="64">
        <v>739</v>
      </c>
    </row>
    <row r="100" spans="5:11" x14ac:dyDescent="0.25">
      <c r="E100" s="38" t="s">
        <v>18</v>
      </c>
      <c r="F100" s="56">
        <v>38132.46</v>
      </c>
      <c r="G100" s="56">
        <v>2447.36</v>
      </c>
      <c r="H100" s="64">
        <v>425.56</v>
      </c>
      <c r="I100" s="56">
        <v>15206.08</v>
      </c>
      <c r="J100" s="56">
        <v>25988.87</v>
      </c>
      <c r="K100" s="56">
        <v>21811.75</v>
      </c>
    </row>
    <row r="101" spans="5:11" x14ac:dyDescent="0.25">
      <c r="E101" s="38" t="s">
        <v>19</v>
      </c>
      <c r="F101" s="56">
        <v>11010.44</v>
      </c>
      <c r="G101" s="64">
        <v>987.36</v>
      </c>
      <c r="H101" s="64">
        <v>605.44000000000005</v>
      </c>
      <c r="I101" s="64">
        <v>124.48</v>
      </c>
      <c r="J101" s="56">
        <v>1778.41</v>
      </c>
      <c r="K101" s="64">
        <v>325.31</v>
      </c>
    </row>
    <row r="102" spans="5:11" x14ac:dyDescent="0.25">
      <c r="E102" s="38" t="s">
        <v>20</v>
      </c>
      <c r="F102" s="56">
        <v>310539.24</v>
      </c>
      <c r="G102" s="56">
        <v>207463.02</v>
      </c>
      <c r="H102" s="56">
        <v>151724.07999999999</v>
      </c>
      <c r="I102" s="56">
        <v>351409</v>
      </c>
      <c r="J102" s="56">
        <v>375859.02</v>
      </c>
      <c r="K102" s="56">
        <v>382544.04</v>
      </c>
    </row>
    <row r="103" spans="5:11" x14ac:dyDescent="0.25">
      <c r="E103" s="38" t="s">
        <v>21</v>
      </c>
      <c r="F103" s="64">
        <v>0</v>
      </c>
      <c r="G103" s="64">
        <v>0</v>
      </c>
      <c r="H103" s="64">
        <v>0</v>
      </c>
      <c r="I103" s="64">
        <v>0</v>
      </c>
      <c r="J103" s="64">
        <v>0</v>
      </c>
      <c r="K103" s="64">
        <v>130</v>
      </c>
    </row>
    <row r="104" spans="5:11" x14ac:dyDescent="0.25">
      <c r="E104" s="38" t="s">
        <v>22</v>
      </c>
      <c r="F104" s="56">
        <v>310539.24</v>
      </c>
      <c r="G104" s="56">
        <v>207463.02</v>
      </c>
      <c r="H104" s="56">
        <v>151724.07999999999</v>
      </c>
      <c r="I104" s="56">
        <v>351409</v>
      </c>
      <c r="J104" s="56">
        <v>375859.02</v>
      </c>
      <c r="K104" s="56">
        <v>382414.04</v>
      </c>
    </row>
    <row r="106" spans="5:11" x14ac:dyDescent="0.25">
      <c r="E106" s="117" t="s">
        <v>340</v>
      </c>
    </row>
    <row r="107" spans="5:11" x14ac:dyDescent="0.25">
      <c r="E107" s="39" t="s">
        <v>320</v>
      </c>
      <c r="F107" s="78">
        <v>2023</v>
      </c>
      <c r="G107" s="78">
        <v>2022</v>
      </c>
      <c r="H107" s="78">
        <v>2021</v>
      </c>
      <c r="I107" s="78">
        <v>2020</v>
      </c>
      <c r="J107" s="78">
        <v>2019</v>
      </c>
      <c r="K107" s="78">
        <v>2018</v>
      </c>
    </row>
    <row r="108" spans="5:11" x14ac:dyDescent="0.25">
      <c r="E108" s="40" t="s">
        <v>321</v>
      </c>
      <c r="F108" s="60">
        <v>20078037.960000001</v>
      </c>
      <c r="G108" s="60">
        <v>20973069.239999998</v>
      </c>
      <c r="H108" s="60">
        <v>20276108.199999999</v>
      </c>
      <c r="I108" s="60">
        <v>20638618.219999999</v>
      </c>
      <c r="J108" s="60">
        <v>20749192.59</v>
      </c>
      <c r="K108" s="60">
        <v>21154207.350000001</v>
      </c>
    </row>
    <row r="109" spans="5:11" ht="15" customHeight="1" x14ac:dyDescent="0.25">
      <c r="E109" s="41" t="s">
        <v>322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</row>
    <row r="110" spans="5:11" ht="15" customHeight="1" x14ac:dyDescent="0.25">
      <c r="E110" s="41" t="s">
        <v>323</v>
      </c>
      <c r="F110" s="58">
        <v>20078037.960000001</v>
      </c>
      <c r="G110" s="58">
        <v>20973069.239999998</v>
      </c>
      <c r="H110" s="58">
        <v>20276108.199999999</v>
      </c>
      <c r="I110" s="58">
        <v>20638618.219999999</v>
      </c>
      <c r="J110" s="58">
        <v>20749192.59</v>
      </c>
      <c r="K110" s="58">
        <v>21154207.350000001</v>
      </c>
    </row>
    <row r="111" spans="5:11" ht="15" customHeight="1" x14ac:dyDescent="0.25">
      <c r="E111" s="41" t="s">
        <v>324</v>
      </c>
      <c r="F111" s="69">
        <v>0</v>
      </c>
      <c r="G111" s="69">
        <v>0</v>
      </c>
      <c r="H111" s="69">
        <v>0</v>
      </c>
      <c r="I111" s="69">
        <v>0</v>
      </c>
      <c r="J111" s="69">
        <v>0</v>
      </c>
      <c r="K111" s="69">
        <v>0</v>
      </c>
    </row>
    <row r="112" spans="5:11" ht="15" customHeight="1" x14ac:dyDescent="0.25">
      <c r="E112" s="41" t="s">
        <v>325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</row>
    <row r="113" spans="5:11" ht="15" customHeight="1" x14ac:dyDescent="0.25">
      <c r="E113" s="41" t="s">
        <v>326</v>
      </c>
      <c r="F113" s="69">
        <v>0</v>
      </c>
      <c r="G113" s="69">
        <v>0</v>
      </c>
      <c r="H113" s="69">
        <v>0</v>
      </c>
      <c r="I113" s="69">
        <v>0</v>
      </c>
      <c r="J113" s="69">
        <v>0</v>
      </c>
      <c r="K113" s="69">
        <v>0</v>
      </c>
    </row>
    <row r="114" spans="5:11" x14ac:dyDescent="0.25">
      <c r="E114" s="40" t="s">
        <v>309</v>
      </c>
      <c r="F114" s="60">
        <v>8573337.9399999995</v>
      </c>
      <c r="G114" s="60">
        <v>7190967.9299999997</v>
      </c>
      <c r="H114" s="60">
        <v>6617331.2400000002</v>
      </c>
      <c r="I114" s="60">
        <v>5584611.0599999996</v>
      </c>
      <c r="J114" s="60">
        <v>5155279.07</v>
      </c>
      <c r="K114" s="60">
        <v>4846710.38</v>
      </c>
    </row>
    <row r="115" spans="5:11" x14ac:dyDescent="0.25">
      <c r="E115" s="41" t="s">
        <v>306</v>
      </c>
      <c r="F115" s="58">
        <v>126563.34</v>
      </c>
      <c r="G115" s="58">
        <v>133849.57</v>
      </c>
      <c r="H115" s="58">
        <v>94373.1</v>
      </c>
      <c r="I115" s="58">
        <v>72959.289999999994</v>
      </c>
      <c r="J115" s="58">
        <v>63451.79</v>
      </c>
      <c r="K115" s="58">
        <v>48201.26</v>
      </c>
    </row>
    <row r="116" spans="5:11" ht="15" customHeight="1" x14ac:dyDescent="0.25">
      <c r="E116" s="41" t="s">
        <v>327</v>
      </c>
      <c r="F116" s="58">
        <v>750949.58</v>
      </c>
      <c r="G116" s="58">
        <v>786496.19</v>
      </c>
      <c r="H116" s="58">
        <v>427779.89</v>
      </c>
      <c r="I116" s="58">
        <v>413350.31</v>
      </c>
      <c r="J116" s="58">
        <v>560967.69999999995</v>
      </c>
      <c r="K116" s="58">
        <v>373028.14</v>
      </c>
    </row>
    <row r="117" spans="5:11" ht="15" customHeight="1" x14ac:dyDescent="0.25">
      <c r="E117" s="41" t="s">
        <v>287</v>
      </c>
      <c r="F117" s="58">
        <v>7653802.2999999998</v>
      </c>
      <c r="G117" s="58">
        <v>6232237.0599999996</v>
      </c>
      <c r="H117" s="58">
        <v>6059393</v>
      </c>
      <c r="I117" s="58">
        <v>5062303.49</v>
      </c>
      <c r="J117" s="58">
        <v>4500192.45</v>
      </c>
      <c r="K117" s="58">
        <v>4397431.53</v>
      </c>
    </row>
    <row r="118" spans="5:11" ht="15" customHeight="1" x14ac:dyDescent="0.25">
      <c r="E118" s="41" t="s">
        <v>328</v>
      </c>
      <c r="F118" s="58">
        <v>42022.720000000001</v>
      </c>
      <c r="G118" s="58">
        <v>38385.11</v>
      </c>
      <c r="H118" s="58">
        <v>35785.25</v>
      </c>
      <c r="I118" s="58">
        <v>35997.97</v>
      </c>
      <c r="J118" s="58">
        <v>30667.13</v>
      </c>
      <c r="K118" s="58">
        <v>28049.45</v>
      </c>
    </row>
    <row r="119" spans="5:11" ht="15" customHeight="1" x14ac:dyDescent="0.25">
      <c r="E119" s="40" t="s">
        <v>329</v>
      </c>
      <c r="F119" s="110">
        <v>0</v>
      </c>
      <c r="G119" s="110">
        <v>0</v>
      </c>
      <c r="H119" s="110">
        <v>0</v>
      </c>
      <c r="I119" s="110">
        <v>0</v>
      </c>
      <c r="J119" s="110">
        <v>0</v>
      </c>
      <c r="K119" s="110">
        <v>0</v>
      </c>
    </row>
    <row r="120" spans="5:11" x14ac:dyDescent="0.25">
      <c r="E120" s="40" t="s">
        <v>330</v>
      </c>
      <c r="F120" s="60">
        <v>28651375.899999999</v>
      </c>
      <c r="G120" s="60">
        <v>28164037.170000002</v>
      </c>
      <c r="H120" s="60">
        <v>26893439.440000001</v>
      </c>
      <c r="I120" s="60">
        <v>26223229.280000001</v>
      </c>
      <c r="J120" s="60">
        <v>25904471.66</v>
      </c>
      <c r="K120" s="60">
        <v>26000917.73</v>
      </c>
    </row>
    <row r="121" spans="5:11" x14ac:dyDescent="0.25">
      <c r="E121" s="39" t="s">
        <v>331</v>
      </c>
      <c r="F121" s="54"/>
      <c r="G121" s="54"/>
      <c r="H121" s="54"/>
      <c r="I121" s="54"/>
      <c r="J121" s="54"/>
      <c r="K121" s="54"/>
    </row>
    <row r="122" spans="5:11" x14ac:dyDescent="0.25">
      <c r="E122" s="40" t="s">
        <v>332</v>
      </c>
      <c r="F122" s="60">
        <v>8740142.5800000001</v>
      </c>
      <c r="G122" s="60">
        <v>8539893.6500000004</v>
      </c>
      <c r="H122" s="60">
        <v>8249297.9400000004</v>
      </c>
      <c r="I122" s="60">
        <v>8163889.8899999997</v>
      </c>
      <c r="J122" s="60">
        <v>7991830.8499999996</v>
      </c>
      <c r="K122" s="60">
        <v>7689597.4900000002</v>
      </c>
    </row>
    <row r="123" spans="5:11" x14ac:dyDescent="0.25">
      <c r="E123" s="41" t="s">
        <v>333</v>
      </c>
      <c r="F123" s="58">
        <v>7262745.5700000003</v>
      </c>
      <c r="G123" s="58">
        <v>7191872.8600000003</v>
      </c>
      <c r="H123" s="58">
        <v>7151745.6399999997</v>
      </c>
      <c r="I123" s="58">
        <v>7024363.4800000004</v>
      </c>
      <c r="J123" s="58">
        <v>6992265.4500000002</v>
      </c>
      <c r="K123" s="58">
        <v>6780290.0300000003</v>
      </c>
    </row>
    <row r="124" spans="5:11" x14ac:dyDescent="0.25">
      <c r="E124" s="41" t="s">
        <v>334</v>
      </c>
      <c r="F124" s="58">
        <v>1166857.77</v>
      </c>
      <c r="G124" s="58">
        <v>1140557.77</v>
      </c>
      <c r="H124" s="58">
        <v>945828.22</v>
      </c>
      <c r="I124" s="58">
        <v>788117.41</v>
      </c>
      <c r="J124" s="58">
        <v>623706.38</v>
      </c>
      <c r="K124" s="58">
        <v>526763.42000000004</v>
      </c>
    </row>
    <row r="125" spans="5:11" ht="15" customHeight="1" x14ac:dyDescent="0.25">
      <c r="E125" s="41" t="s">
        <v>335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</row>
    <row r="126" spans="5:11" x14ac:dyDescent="0.25">
      <c r="E126" s="41" t="s">
        <v>336</v>
      </c>
      <c r="F126" s="58">
        <v>310539.24</v>
      </c>
      <c r="G126" s="58">
        <v>207463.02</v>
      </c>
      <c r="H126" s="58">
        <v>151724.07999999999</v>
      </c>
      <c r="I126" s="58">
        <v>351409</v>
      </c>
      <c r="J126" s="58">
        <v>375859.02</v>
      </c>
      <c r="K126" s="58">
        <v>382544.04</v>
      </c>
    </row>
    <row r="127" spans="5:11" ht="15" customHeight="1" x14ac:dyDescent="0.25">
      <c r="E127" s="40" t="s">
        <v>91</v>
      </c>
      <c r="F127" s="60">
        <v>19911233.32</v>
      </c>
      <c r="G127" s="60">
        <v>19624143.52</v>
      </c>
      <c r="H127" s="60">
        <v>18644141.5</v>
      </c>
      <c r="I127" s="60">
        <v>18059339.390000001</v>
      </c>
      <c r="J127" s="60">
        <v>17912640.809999999</v>
      </c>
      <c r="K127" s="60">
        <v>18311320.239999998</v>
      </c>
    </row>
    <row r="128" spans="5:11" ht="15" customHeight="1" x14ac:dyDescent="0.25">
      <c r="E128" s="41" t="s">
        <v>93</v>
      </c>
      <c r="F128" s="58">
        <v>402716.13</v>
      </c>
      <c r="G128" s="58">
        <v>402716.13</v>
      </c>
      <c r="H128" s="58">
        <v>402716.13</v>
      </c>
      <c r="I128" s="58">
        <v>402716.13</v>
      </c>
      <c r="J128" s="58">
        <v>402716.13</v>
      </c>
      <c r="K128" s="58">
        <v>402716.13</v>
      </c>
    </row>
    <row r="129" spans="5:11" ht="15" customHeight="1" x14ac:dyDescent="0.25">
      <c r="E129" s="41" t="s">
        <v>89</v>
      </c>
      <c r="F129" s="69">
        <v>0</v>
      </c>
      <c r="G129" s="69">
        <v>0</v>
      </c>
      <c r="H129" s="69">
        <v>0</v>
      </c>
      <c r="I129" s="69">
        <v>0</v>
      </c>
      <c r="J129" s="69">
        <v>0</v>
      </c>
      <c r="K129" s="69">
        <v>0</v>
      </c>
    </row>
    <row r="130" spans="5:11" ht="15" customHeight="1" x14ac:dyDescent="0.25">
      <c r="E130" s="41" t="s">
        <v>90</v>
      </c>
      <c r="F130" s="58">
        <v>5220881.91</v>
      </c>
      <c r="G130" s="58">
        <v>4396251.87</v>
      </c>
      <c r="H130" s="58">
        <v>4058706.63</v>
      </c>
      <c r="I130" s="58">
        <v>3074070.71</v>
      </c>
      <c r="J130" s="58">
        <v>2558310.91</v>
      </c>
      <c r="K130" s="58">
        <v>2138453.67</v>
      </c>
    </row>
    <row r="131" spans="5:11" ht="15" customHeight="1" x14ac:dyDescent="0.25">
      <c r="E131" s="41" t="s">
        <v>88</v>
      </c>
      <c r="F131" s="58">
        <v>14287635.279999999</v>
      </c>
      <c r="G131" s="58">
        <v>14825175.52</v>
      </c>
      <c r="H131" s="58">
        <v>14182718.74</v>
      </c>
      <c r="I131" s="58">
        <v>14582552.550000001</v>
      </c>
      <c r="J131" s="58">
        <v>14951613.77</v>
      </c>
      <c r="K131" s="58">
        <v>15770150.439999999</v>
      </c>
    </row>
    <row r="132" spans="5:11" x14ac:dyDescent="0.25">
      <c r="E132" s="40" t="s">
        <v>337</v>
      </c>
      <c r="F132" s="60">
        <v>28651375.899999999</v>
      </c>
      <c r="G132" s="60">
        <v>28164037.170000002</v>
      </c>
      <c r="H132" s="60">
        <v>26893439.440000001</v>
      </c>
      <c r="I132" s="60">
        <v>26223229.280000001</v>
      </c>
      <c r="J132" s="60">
        <v>25904471.66</v>
      </c>
      <c r="K132" s="60">
        <v>26000917.73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5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5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5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5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5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5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5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5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5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5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5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5">
      <c r="E147" s="48" t="s">
        <v>50</v>
      </c>
      <c r="F147" s="68"/>
      <c r="G147" s="69"/>
      <c r="H147" s="70"/>
      <c r="I147" s="70"/>
      <c r="J147" s="66"/>
      <c r="K147" s="67"/>
    </row>
    <row r="148" spans="5:11" x14ac:dyDescent="0.25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5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5">
      <c r="E150" s="48" t="s">
        <v>74</v>
      </c>
      <c r="F150" s="68"/>
      <c r="G150" s="69"/>
      <c r="H150" s="70"/>
      <c r="I150" s="70"/>
      <c r="J150" s="66"/>
      <c r="K150" s="67"/>
    </row>
    <row r="151" spans="5:11" x14ac:dyDescent="0.25">
      <c r="E151" s="48" t="s">
        <v>75</v>
      </c>
      <c r="F151" s="68"/>
      <c r="G151" s="69"/>
      <c r="H151" s="70"/>
      <c r="I151" s="70"/>
      <c r="J151" s="66"/>
      <c r="K151" s="67"/>
    </row>
    <row r="152" spans="5:11" x14ac:dyDescent="0.25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5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5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5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5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5">
      <c r="E157" s="48" t="s">
        <v>78</v>
      </c>
      <c r="F157" s="68"/>
      <c r="G157" s="69"/>
      <c r="H157" s="70"/>
      <c r="I157" s="70"/>
      <c r="J157" s="66"/>
      <c r="K157" s="67"/>
    </row>
    <row r="158" spans="5:11" x14ac:dyDescent="0.25">
      <c r="E158" s="48" t="s">
        <v>79</v>
      </c>
      <c r="F158" s="68"/>
      <c r="G158" s="69"/>
      <c r="H158" s="70"/>
      <c r="I158" s="70"/>
      <c r="J158" s="66"/>
      <c r="K158" s="67"/>
    </row>
    <row r="159" spans="5:11" x14ac:dyDescent="0.25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5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5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5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5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5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5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5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5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5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5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5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5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5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5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5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5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5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5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03CDF-4769-40EE-A15A-6C8477CCAD3C}">
  <sheetPr>
    <tabColor theme="5" tint="0.79998168889431442"/>
  </sheetPr>
  <dimension ref="A1:K177"/>
  <sheetViews>
    <sheetView workbookViewId="0">
      <selection activeCell="C177" sqref="C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396</v>
      </c>
      <c r="F1" s="191"/>
      <c r="G1" s="191"/>
      <c r="H1" s="191"/>
      <c r="I1" s="191"/>
      <c r="J1" s="191"/>
      <c r="K1" s="191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0.29010983552330893</v>
      </c>
      <c r="B4" s="139">
        <f>MAX(F4:K4)</f>
        <v>0.95422426496405366</v>
      </c>
      <c r="C4" s="155">
        <f>AVERAGE(F4:K4)</f>
        <v>0.59113438375833216</v>
      </c>
      <c r="D4" s="156">
        <f>MEDIAN(F4:K4)</f>
        <v>0.56875325895770468</v>
      </c>
      <c r="E4" s="47" t="s">
        <v>364</v>
      </c>
      <c r="F4" s="71">
        <f>SUM(F9:F12)/SUM(F13:F15)</f>
        <v>0.54411639481653096</v>
      </c>
      <c r="G4" s="71">
        <f t="shared" ref="G4:K4" si="0">SUM(G9:G12)/SUM(G13:G15)</f>
        <v>0.95422426496405366</v>
      </c>
      <c r="H4" s="71">
        <f t="shared" si="0"/>
        <v>0.5933901230988784</v>
      </c>
      <c r="I4" s="71">
        <f t="shared" si="0"/>
        <v>0.77129228228533309</v>
      </c>
      <c r="J4" s="71">
        <f t="shared" si="0"/>
        <v>0.39367340186188754</v>
      </c>
      <c r="K4" s="71">
        <f t="shared" si="0"/>
        <v>0.29010983552330893</v>
      </c>
    </row>
    <row r="5" spans="1:11" s="43" customFormat="1" ht="13.2" x14ac:dyDescent="0.25">
      <c r="A5" s="139">
        <f t="shared" ref="A5:A7" si="1">MIN(F5:K5)</f>
        <v>1.6548912615104507</v>
      </c>
      <c r="B5" s="139">
        <f t="shared" ref="B5:B7" si="2">MAX(F5:K5)</f>
        <v>5.5639719936140724</v>
      </c>
      <c r="C5" s="155">
        <f t="shared" ref="C5:C7" si="3">AVERAGEIF(F5:K5,"&gt;0")</f>
        <v>3.3736030633008087</v>
      </c>
      <c r="D5" s="156">
        <f t="shared" ref="D5:D7" si="4">_xlfn.AGGREGATE(12,6,F5:K5)</f>
        <v>3.1279613995945965</v>
      </c>
      <c r="E5" s="47" t="s">
        <v>363</v>
      </c>
      <c r="F5" s="71">
        <f t="shared" ref="F5:K5" si="5">SUM(F9:F12)/F14</f>
        <v>4.591247066930376</v>
      </c>
      <c r="G5" s="71">
        <f t="shared" si="5"/>
        <v>5.5639719936140724</v>
      </c>
      <c r="H5" s="71">
        <f t="shared" si="5"/>
        <v>3.1504068990437171</v>
      </c>
      <c r="I5" s="71">
        <f t="shared" si="5"/>
        <v>3.105515900145476</v>
      </c>
      <c r="J5" s="71">
        <f t="shared" si="5"/>
        <v>2.175585258560758</v>
      </c>
      <c r="K5" s="71">
        <f t="shared" si="5"/>
        <v>1.6548912615104507</v>
      </c>
    </row>
    <row r="6" spans="1:11" s="43" customFormat="1" ht="13.2" x14ac:dyDescent="0.25">
      <c r="A6" s="139">
        <f t="shared" si="1"/>
        <v>1.6450906823406291</v>
      </c>
      <c r="B6" s="139">
        <f t="shared" si="2"/>
        <v>5.5500698724518163</v>
      </c>
      <c r="C6" s="155">
        <f t="shared" si="3"/>
        <v>3.3569082844515896</v>
      </c>
      <c r="D6" s="156">
        <f t="shared" si="4"/>
        <v>3.119709984717538</v>
      </c>
      <c r="E6" s="47" t="s">
        <v>365</v>
      </c>
      <c r="F6" s="71">
        <f t="shared" ref="F6:K6" si="6">SUM(F10:F11)/F14</f>
        <v>4.5579926740992054</v>
      </c>
      <c r="G6" s="71">
        <f t="shared" si="6"/>
        <v>5.5500698724518163</v>
      </c>
      <c r="H6" s="71">
        <f t="shared" si="6"/>
        <v>3.1385038203282476</v>
      </c>
      <c r="I6" s="71">
        <f t="shared" si="6"/>
        <v>3.1009161491068284</v>
      </c>
      <c r="J6" s="71">
        <f t="shared" si="6"/>
        <v>2.1488765083828087</v>
      </c>
      <c r="K6" s="71">
        <f t="shared" si="6"/>
        <v>1.6450906823406291</v>
      </c>
    </row>
    <row r="7" spans="1:11" s="43" customFormat="1" ht="13.8" thickBot="1" x14ac:dyDescent="0.3">
      <c r="A7" s="139">
        <f t="shared" si="1"/>
        <v>1.1480401616824238</v>
      </c>
      <c r="B7" s="139">
        <f t="shared" si="2"/>
        <v>4.2083054132987163</v>
      </c>
      <c r="C7" s="155">
        <f t="shared" si="3"/>
        <v>2.5868528086024631</v>
      </c>
      <c r="D7" s="156">
        <f t="shared" si="4"/>
        <v>2.612343901618722</v>
      </c>
      <c r="E7" s="49" t="s">
        <v>366</v>
      </c>
      <c r="F7" s="73">
        <f t="shared" ref="F7:K7" si="7">F11/F14</f>
        <v>3.3601700860625368</v>
      </c>
      <c r="G7" s="73">
        <f t="shared" si="7"/>
        <v>4.2083054132987163</v>
      </c>
      <c r="H7" s="73">
        <f t="shared" si="7"/>
        <v>2.4864102223468287</v>
      </c>
      <c r="I7" s="73">
        <f t="shared" si="7"/>
        <v>2.7382775808906148</v>
      </c>
      <c r="J7" s="73">
        <f t="shared" si="7"/>
        <v>1.5799133873336599</v>
      </c>
      <c r="K7" s="73">
        <f t="shared" si="7"/>
        <v>1.1480401616824238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1128496.27</v>
      </c>
      <c r="G10" s="76">
        <f t="shared" si="8"/>
        <v>1138760.3</v>
      </c>
      <c r="H10" s="76">
        <f t="shared" si="8"/>
        <v>403142.71</v>
      </c>
      <c r="I10" s="76">
        <f t="shared" si="8"/>
        <v>320269.76</v>
      </c>
      <c r="J10" s="76">
        <f t="shared" si="8"/>
        <v>370290.9</v>
      </c>
      <c r="K10" s="76">
        <f t="shared" si="8"/>
        <v>325078.71000000002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3165693.69</v>
      </c>
      <c r="G11" s="76">
        <f t="shared" si="8"/>
        <v>3571603.87</v>
      </c>
      <c r="H11" s="76">
        <f t="shared" si="8"/>
        <v>1537169.14</v>
      </c>
      <c r="I11" s="76">
        <f t="shared" si="8"/>
        <v>2418351.44</v>
      </c>
      <c r="J11" s="76">
        <f t="shared" si="8"/>
        <v>1028234.57</v>
      </c>
      <c r="K11" s="76">
        <f t="shared" si="8"/>
        <v>750835.98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31329.73</v>
      </c>
      <c r="G12" s="76">
        <f t="shared" si="8"/>
        <v>11798.78</v>
      </c>
      <c r="H12" s="76">
        <f t="shared" si="8"/>
        <v>7358.82</v>
      </c>
      <c r="I12" s="76">
        <f t="shared" si="8"/>
        <v>4062.34</v>
      </c>
      <c r="J12" s="76">
        <f t="shared" si="8"/>
        <v>17382.509999999998</v>
      </c>
      <c r="K12" s="76">
        <f t="shared" si="8"/>
        <v>6409.73</v>
      </c>
    </row>
    <row r="13" spans="1:11" s="43" customFormat="1" ht="13.2" x14ac:dyDescent="0.25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942123.05</v>
      </c>
      <c r="G14" s="76">
        <f t="shared" ref="G14:K15" si="10">G130</f>
        <v>848703.58</v>
      </c>
      <c r="H14" s="76">
        <f t="shared" si="10"/>
        <v>618228.29</v>
      </c>
      <c r="I14" s="76">
        <f t="shared" si="10"/>
        <v>883165.19</v>
      </c>
      <c r="J14" s="76">
        <f t="shared" si="10"/>
        <v>650817.05000000005</v>
      </c>
      <c r="K14" s="76">
        <f t="shared" si="10"/>
        <v>654015.43000000005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7007499</v>
      </c>
      <c r="G15" s="76">
        <f t="shared" si="10"/>
        <v>4099989.43</v>
      </c>
      <c r="H15" s="76">
        <f t="shared" si="10"/>
        <v>2664048.5699999998</v>
      </c>
      <c r="I15" s="76">
        <f t="shared" si="10"/>
        <v>2672793.56</v>
      </c>
      <c r="J15" s="76">
        <f t="shared" si="10"/>
        <v>2945839.4</v>
      </c>
      <c r="K15" s="76">
        <f t="shared" si="10"/>
        <v>3076724.75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33.239323971613828</v>
      </c>
      <c r="B19" s="152">
        <f t="shared" ref="B19:B25" si="12">MAX(F19:K19)</f>
        <v>84.343153318837452</v>
      </c>
      <c r="C19" s="156">
        <f>AVERAGE(F19:K19)</f>
        <v>50.350726098216562</v>
      </c>
      <c r="D19" s="156">
        <f>MEDIAN(F19:K19)</f>
        <v>41.13526473441204</v>
      </c>
      <c r="E19" s="47" t="s">
        <v>293</v>
      </c>
      <c r="F19" s="71">
        <f>F28/(F27/365)</f>
        <v>66.747161979365984</v>
      </c>
      <c r="G19" s="71">
        <f t="shared" ref="G19:K19" si="13">G28/(G27/365)</f>
        <v>84.343153318837452</v>
      </c>
      <c r="H19" s="71">
        <f t="shared" si="13"/>
        <v>35.504187850657999</v>
      </c>
      <c r="I19" s="71">
        <f t="shared" si="13"/>
        <v>33.239323971613828</v>
      </c>
      <c r="J19" s="71">
        <f t="shared" si="13"/>
        <v>40.358488738736099</v>
      </c>
      <c r="K19" s="71">
        <f t="shared" si="13"/>
        <v>41.91204073008798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54.44645977289548</v>
      </c>
      <c r="B21" s="152">
        <f t="shared" si="12"/>
        <v>91.659649262115408</v>
      </c>
      <c r="C21" s="156">
        <f t="shared" si="14"/>
        <v>69.990771038905791</v>
      </c>
      <c r="D21" s="156">
        <f t="shared" si="15"/>
        <v>66.896640236998152</v>
      </c>
      <c r="E21" s="47" t="s">
        <v>368</v>
      </c>
      <c r="F21" s="71">
        <f>F30/(F27/365)</f>
        <v>55.723746275957403</v>
      </c>
      <c r="G21" s="71">
        <f t="shared" ref="G21:K21" si="17">G30/(G27/365)</f>
        <v>62.859880319138462</v>
      </c>
      <c r="H21" s="71">
        <f t="shared" si="17"/>
        <v>54.44645977289548</v>
      </c>
      <c r="I21" s="71">
        <f t="shared" si="17"/>
        <v>91.659649262115408</v>
      </c>
      <c r="J21" s="71">
        <f t="shared" si="17"/>
        <v>70.933400154857836</v>
      </c>
      <c r="K21" s="71">
        <f t="shared" si="17"/>
        <v>84.321490448470172</v>
      </c>
    </row>
    <row r="22" spans="1:11" s="43" customFormat="1" ht="13.2" x14ac:dyDescent="0.25">
      <c r="A22" s="152">
        <f t="shared" si="11"/>
        <v>-58.42032529050158</v>
      </c>
      <c r="B22" s="152">
        <f t="shared" si="12"/>
        <v>21.48327299969899</v>
      </c>
      <c r="C22" s="156">
        <f t="shared" si="14"/>
        <v>-19.640044940689236</v>
      </c>
      <c r="D22" s="156">
        <f t="shared" si="15"/>
        <v>-24.758591669179609</v>
      </c>
      <c r="E22" s="47" t="s">
        <v>294</v>
      </c>
      <c r="F22" s="71">
        <f>F19+F20-F21</f>
        <v>11.023415703408581</v>
      </c>
      <c r="G22" s="71">
        <f t="shared" ref="G22:K22" si="18">G19+G20-G21</f>
        <v>21.48327299969899</v>
      </c>
      <c r="H22" s="71">
        <f t="shared" si="18"/>
        <v>-18.942271922237481</v>
      </c>
      <c r="I22" s="71">
        <f t="shared" si="18"/>
        <v>-58.42032529050158</v>
      </c>
      <c r="J22" s="71">
        <f t="shared" si="18"/>
        <v>-30.574911416121736</v>
      </c>
      <c r="K22" s="71">
        <f t="shared" si="18"/>
        <v>-42.409449718382191</v>
      </c>
    </row>
    <row r="23" spans="1:11" s="43" customFormat="1" ht="13.2" x14ac:dyDescent="0.25">
      <c r="A23" s="152">
        <f t="shared" si="11"/>
        <v>0.61431943264862865</v>
      </c>
      <c r="B23" s="152">
        <f t="shared" si="12"/>
        <v>1.0384381256335191</v>
      </c>
      <c r="C23" s="156">
        <f t="shared" si="14"/>
        <v>0.79336925605625763</v>
      </c>
      <c r="D23" s="156">
        <f t="shared" si="15"/>
        <v>0.75950034825933832</v>
      </c>
      <c r="E23" s="47" t="s">
        <v>295</v>
      </c>
      <c r="F23" s="71">
        <f>F27/F31</f>
        <v>0.61431943264862865</v>
      </c>
      <c r="G23" s="71">
        <f t="shared" ref="G23:K23" si="19">G27/G31</f>
        <v>0.73853179478865705</v>
      </c>
      <c r="H23" s="71">
        <f t="shared" si="19"/>
        <v>1.0384381256335191</v>
      </c>
      <c r="I23" s="71">
        <f t="shared" si="19"/>
        <v>0.78046890173001959</v>
      </c>
      <c r="J23" s="71">
        <f t="shared" si="19"/>
        <v>0.85103738125386652</v>
      </c>
      <c r="K23" s="71">
        <f t="shared" si="19"/>
        <v>0.73741990028285476</v>
      </c>
    </row>
    <row r="24" spans="1:11" s="43" customFormat="1" ht="13.2" x14ac:dyDescent="0.25">
      <c r="A24" s="152">
        <f t="shared" si="11"/>
        <v>1.026936357741995</v>
      </c>
      <c r="B24" s="152">
        <f t="shared" si="12"/>
        <v>2.5264201273061162</v>
      </c>
      <c r="C24" s="156">
        <f t="shared" si="14"/>
        <v>1.664029600428399</v>
      </c>
      <c r="D24" s="156">
        <f t="shared" si="15"/>
        <v>1.6618584365286426</v>
      </c>
      <c r="E24" s="121" t="s">
        <v>369</v>
      </c>
      <c r="F24" s="71">
        <f>F27/F32</f>
        <v>1.0788859326479252</v>
      </c>
      <c r="G24" s="71">
        <f t="shared" ref="G24:K24" si="20">G27/G32</f>
        <v>2.5264201273061162</v>
      </c>
      <c r="H24" s="71">
        <f t="shared" si="20"/>
        <v>2.028218311817072</v>
      </c>
      <c r="I24" s="71">
        <f t="shared" si="20"/>
        <v>1.9943493955016609</v>
      </c>
      <c r="J24" s="71">
        <f t="shared" si="20"/>
        <v>1.3293674775556243</v>
      </c>
      <c r="K24" s="71">
        <f t="shared" si="20"/>
        <v>1.026936357741995</v>
      </c>
    </row>
    <row r="25" spans="1:11" s="43" customFormat="1" ht="13.8" thickBot="1" x14ac:dyDescent="0.3">
      <c r="A25" s="152">
        <f t="shared" si="11"/>
        <v>1.0436007423250822</v>
      </c>
      <c r="B25" s="152">
        <f t="shared" si="12"/>
        <v>2.6156831054407887</v>
      </c>
      <c r="C25" s="156">
        <f t="shared" si="14"/>
        <v>1.8102231075985491</v>
      </c>
      <c r="D25" s="156">
        <f t="shared" si="15"/>
        <v>1.7772954312231648</v>
      </c>
      <c r="E25" s="49" t="s">
        <v>296</v>
      </c>
      <c r="F25" s="73">
        <f>F27/F33</f>
        <v>1.4266646304412036</v>
      </c>
      <c r="G25" s="73">
        <f t="shared" ref="G25:K25" si="21">G27/G33</f>
        <v>1.0436007423250822</v>
      </c>
      <c r="H25" s="73">
        <f t="shared" si="21"/>
        <v>2.1279262320051262</v>
      </c>
      <c r="I25" s="73">
        <f t="shared" si="21"/>
        <v>1.2822742356925363</v>
      </c>
      <c r="J25" s="73">
        <f t="shared" si="21"/>
        <v>2.3651896996865576</v>
      </c>
      <c r="K25" s="73">
        <f t="shared" si="21"/>
        <v>2.6156831054407887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6171065.9500000002</v>
      </c>
      <c r="G27" s="76">
        <f t="shared" ref="G27:K27" si="22">G93+G86</f>
        <v>4928052.76</v>
      </c>
      <c r="H27" s="76">
        <f t="shared" si="22"/>
        <v>4144499.51</v>
      </c>
      <c r="I27" s="76">
        <f t="shared" si="22"/>
        <v>3516872.44</v>
      </c>
      <c r="J27" s="76">
        <f t="shared" si="22"/>
        <v>3348890.97</v>
      </c>
      <c r="K27" s="76">
        <f t="shared" si="22"/>
        <v>2831017.7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1128496.27</v>
      </c>
      <c r="G28" s="76">
        <f t="shared" ref="G28:K28" si="23">G116</f>
        <v>1138760.3</v>
      </c>
      <c r="H28" s="76">
        <f t="shared" si="23"/>
        <v>403142.71</v>
      </c>
      <c r="I28" s="76">
        <f t="shared" si="23"/>
        <v>320269.76</v>
      </c>
      <c r="J28" s="76">
        <f t="shared" si="23"/>
        <v>370290.9</v>
      </c>
      <c r="K28" s="76">
        <f t="shared" si="23"/>
        <v>325078.71000000002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942123.05</v>
      </c>
      <c r="G30" s="76">
        <f t="shared" ref="G30:K30" si="25">G130</f>
        <v>848703.58</v>
      </c>
      <c r="H30" s="76">
        <f t="shared" si="25"/>
        <v>618228.29</v>
      </c>
      <c r="I30" s="76">
        <f t="shared" si="25"/>
        <v>883165.19</v>
      </c>
      <c r="J30" s="76">
        <f t="shared" si="25"/>
        <v>650817.05000000005</v>
      </c>
      <c r="K30" s="76">
        <f t="shared" si="25"/>
        <v>654015.43000000005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10045369.92</v>
      </c>
      <c r="G31" s="76">
        <f t="shared" ref="G31:K31" si="26">G120</f>
        <v>6672769.9400000004</v>
      </c>
      <c r="H31" s="76">
        <f t="shared" si="26"/>
        <v>3991089.51</v>
      </c>
      <c r="I31" s="76">
        <f t="shared" si="26"/>
        <v>4506101.95</v>
      </c>
      <c r="J31" s="76">
        <f t="shared" si="26"/>
        <v>3935069.18</v>
      </c>
      <c r="K31" s="76">
        <f t="shared" si="26"/>
        <v>3839085.03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5719850.2300000004</v>
      </c>
      <c r="G32" s="76">
        <f t="shared" ref="G32:K32" si="27">G108</f>
        <v>1950606.99</v>
      </c>
      <c r="H32" s="76">
        <f t="shared" si="27"/>
        <v>2043418.84</v>
      </c>
      <c r="I32" s="76">
        <f t="shared" si="27"/>
        <v>1763418.41</v>
      </c>
      <c r="J32" s="76">
        <f t="shared" si="27"/>
        <v>2519161.2000000002</v>
      </c>
      <c r="K32" s="76">
        <f t="shared" si="27"/>
        <v>2756760.61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4325519.6900000004</v>
      </c>
      <c r="G33" s="76">
        <f t="shared" ref="G33:K33" si="28">G114</f>
        <v>4722162.95</v>
      </c>
      <c r="H33" s="76">
        <f t="shared" si="28"/>
        <v>1947670.67</v>
      </c>
      <c r="I33" s="76">
        <f t="shared" si="28"/>
        <v>2742683.54</v>
      </c>
      <c r="J33" s="76">
        <f t="shared" si="28"/>
        <v>1415907.98</v>
      </c>
      <c r="K33" s="76">
        <f t="shared" si="28"/>
        <v>1082324.42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9.3786795061102143E-2</v>
      </c>
      <c r="B37" s="139">
        <f t="shared" ref="B37:B41" si="30">MAX(F37:K37)</f>
        <v>0.2238779151457059</v>
      </c>
      <c r="C37" s="160">
        <f t="shared" ref="C37:C41" si="31">AVERAGE(F37:K37)</f>
        <v>0.16712434981461891</v>
      </c>
      <c r="D37" s="160">
        <f t="shared" ref="D37:D41" si="32">MEDIAN(F37:K37)</f>
        <v>0.18023621511384991</v>
      </c>
      <c r="E37" s="47" t="s">
        <v>370</v>
      </c>
      <c r="F37" s="119">
        <f>F43/F44*100%</f>
        <v>9.3786795061102143E-2</v>
      </c>
      <c r="G37" s="119">
        <f t="shared" ref="G37:K37" si="33">G43/G44*100%</f>
        <v>0.12718909652683155</v>
      </c>
      <c r="H37" s="119">
        <f t="shared" si="33"/>
        <v>0.19741986192637412</v>
      </c>
      <c r="I37" s="119">
        <f t="shared" si="33"/>
        <v>0.2238779151457059</v>
      </c>
      <c r="J37" s="119">
        <f t="shared" si="33"/>
        <v>0.17156561145895788</v>
      </c>
      <c r="K37" s="119">
        <f t="shared" si="33"/>
        <v>0.18890681876874191</v>
      </c>
    </row>
    <row r="38" spans="1:11" s="43" customFormat="1" ht="13.2" x14ac:dyDescent="0.25">
      <c r="A38" s="139">
        <f t="shared" si="29"/>
        <v>0.44954026363867899</v>
      </c>
      <c r="B38" s="139">
        <f t="shared" si="30"/>
        <v>19.531671969521916</v>
      </c>
      <c r="C38" s="155">
        <f t="shared" si="31"/>
        <v>4.2179782303668771</v>
      </c>
      <c r="D38" s="156">
        <f t="shared" si="32"/>
        <v>1.3425269163635796</v>
      </c>
      <c r="E38" s="50" t="s">
        <v>298</v>
      </c>
      <c r="F38" s="122">
        <f>F43/F45</f>
        <v>0.44954026363867899</v>
      </c>
      <c r="G38" s="122">
        <f t="shared" ref="G38:K38" si="34">G43/G45</f>
        <v>0.49226549304850337</v>
      </c>
      <c r="H38" s="122">
        <f t="shared" si="34"/>
        <v>1.4614918072134511</v>
      </c>
      <c r="I38" s="122">
        <f t="shared" si="34"/>
        <v>1.2235620255137079</v>
      </c>
      <c r="J38" s="122">
        <f t="shared" si="34"/>
        <v>2.1493378232650042</v>
      </c>
      <c r="K38" s="122">
        <f t="shared" si="34"/>
        <v>19.531671969521916</v>
      </c>
    </row>
    <row r="39" spans="1:11" s="43" customFormat="1" ht="13.2" x14ac:dyDescent="0.25">
      <c r="A39" s="139">
        <f t="shared" si="29"/>
        <v>3.8703435002752462</v>
      </c>
      <c r="B39" s="139">
        <f t="shared" si="30"/>
        <v>103.39315487299808</v>
      </c>
      <c r="C39" s="155">
        <f t="shared" si="31"/>
        <v>22.908795678504166</v>
      </c>
      <c r="D39" s="156">
        <f t="shared" si="32"/>
        <v>6.4341357721419037</v>
      </c>
      <c r="E39" s="50" t="s">
        <v>299</v>
      </c>
      <c r="F39" s="122">
        <f>F44/F45</f>
        <v>4.793214901370745</v>
      </c>
      <c r="G39" s="122">
        <f t="shared" ref="G39:K39" si="35">G44/G45</f>
        <v>3.8703435002752462</v>
      </c>
      <c r="H39" s="122">
        <f t="shared" si="35"/>
        <v>7.4029623612972681</v>
      </c>
      <c r="I39" s="122">
        <f t="shared" si="35"/>
        <v>5.4653091829865401</v>
      </c>
      <c r="J39" s="122">
        <f t="shared" si="35"/>
        <v>12.527789252097127</v>
      </c>
      <c r="K39" s="122">
        <f t="shared" si="35"/>
        <v>103.39315487299808</v>
      </c>
    </row>
    <row r="40" spans="1:11" s="43" customFormat="1" ht="13.2" x14ac:dyDescent="0.25">
      <c r="A40" s="139">
        <f t="shared" si="29"/>
        <v>0</v>
      </c>
      <c r="B40" s="139">
        <f t="shared" si="30"/>
        <v>4.251772594295937E-2</v>
      </c>
      <c r="C40" s="160">
        <f t="shared" si="31"/>
        <v>1.585480367510313E-2</v>
      </c>
      <c r="D40" s="160">
        <f t="shared" si="32"/>
        <v>1.2363173758458957E-2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4.251772594295937E-2</v>
      </c>
      <c r="I40" s="119">
        <f t="shared" si="36"/>
        <v>2.7884748590741495E-2</v>
      </c>
      <c r="J40" s="119">
        <f t="shared" si="36"/>
        <v>6.1766385514980954E-3</v>
      </c>
      <c r="K40" s="119">
        <f t="shared" si="36"/>
        <v>1.8549708965419819E-2</v>
      </c>
    </row>
    <row r="41" spans="1:11" s="43" customFormat="1" ht="13.8" thickBot="1" x14ac:dyDescent="0.3">
      <c r="A41" s="139">
        <f t="shared" si="29"/>
        <v>-30.047804671844528</v>
      </c>
      <c r="B41" s="139">
        <f t="shared" si="30"/>
        <v>205.05896119472848</v>
      </c>
      <c r="C41" s="155">
        <f t="shared" si="31"/>
        <v>49.256425836785468</v>
      </c>
      <c r="D41" s="156">
        <f t="shared" si="32"/>
        <v>32.832508861276814</v>
      </c>
      <c r="E41" s="51" t="s">
        <v>300</v>
      </c>
      <c r="F41" s="123">
        <f>(F47+F48)/F48</f>
        <v>6.1949468348858669</v>
      </c>
      <c r="G41" s="123">
        <f t="shared" ref="G41:K41" si="37">(G47+G48)/G48</f>
        <v>28.040186906417151</v>
      </c>
      <c r="H41" s="123">
        <f t="shared" si="37"/>
        <v>205.05896119472848</v>
      </c>
      <c r="I41" s="123">
        <f t="shared" si="37"/>
        <v>48.667433940389358</v>
      </c>
      <c r="J41" s="123">
        <f t="shared" si="37"/>
        <v>37.62483081613648</v>
      </c>
      <c r="K41" s="123">
        <f t="shared" si="37"/>
        <v>-30.047804671844528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942123.05</v>
      </c>
      <c r="G43" s="76">
        <f t="shared" ref="G43:K43" si="38">G129+G130</f>
        <v>848703.58</v>
      </c>
      <c r="H43" s="76">
        <f t="shared" si="38"/>
        <v>787920.34000000008</v>
      </c>
      <c r="I43" s="76">
        <f t="shared" si="38"/>
        <v>1008816.71</v>
      </c>
      <c r="J43" s="76">
        <f t="shared" si="38"/>
        <v>675122.55</v>
      </c>
      <c r="K43" s="76">
        <f t="shared" si="38"/>
        <v>725229.34000000008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10045369.92</v>
      </c>
      <c r="G44" s="76">
        <f t="shared" ref="G44:K44" si="39">G120</f>
        <v>6672769.9400000004</v>
      </c>
      <c r="H44" s="76">
        <f t="shared" si="39"/>
        <v>3991089.51</v>
      </c>
      <c r="I44" s="76">
        <f t="shared" si="39"/>
        <v>4506101.95</v>
      </c>
      <c r="J44" s="76">
        <f t="shared" si="39"/>
        <v>3935069.18</v>
      </c>
      <c r="K44" s="76">
        <f t="shared" si="39"/>
        <v>3839085.03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2095747.87</v>
      </c>
      <c r="G45" s="76">
        <f t="shared" ref="G45:K45" si="40">G122</f>
        <v>1724076.93</v>
      </c>
      <c r="H45" s="76">
        <f t="shared" si="40"/>
        <v>539120.6</v>
      </c>
      <c r="I45" s="76">
        <f t="shared" si="40"/>
        <v>824491.68</v>
      </c>
      <c r="J45" s="76">
        <f t="shared" si="40"/>
        <v>314107.23</v>
      </c>
      <c r="K45" s="76">
        <f t="shared" si="40"/>
        <v>37130.94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169692.05</v>
      </c>
      <c r="I46" s="43">
        <f t="shared" si="41"/>
        <v>125651.52</v>
      </c>
      <c r="J46" s="43">
        <f t="shared" si="41"/>
        <v>24305.5</v>
      </c>
      <c r="K46" s="43">
        <f t="shared" si="41"/>
        <v>71213.91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310635.95</v>
      </c>
      <c r="G47" s="76">
        <f t="shared" ref="G47:K47" si="42">G102</f>
        <v>773823.36</v>
      </c>
      <c r="H47" s="76">
        <f t="shared" si="42"/>
        <v>558035.96</v>
      </c>
      <c r="I47" s="76">
        <f t="shared" si="42"/>
        <v>394705.42</v>
      </c>
      <c r="J47" s="76">
        <f t="shared" si="42"/>
        <v>282776.28999999998</v>
      </c>
      <c r="K47" s="76">
        <f t="shared" si="42"/>
        <v>-348143.07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59795.79</v>
      </c>
      <c r="G48" s="76">
        <f t="shared" ref="G48:K48" si="43">G101</f>
        <v>28617.53</v>
      </c>
      <c r="H48" s="76">
        <f t="shared" si="43"/>
        <v>2734.68</v>
      </c>
      <c r="I48" s="76">
        <f t="shared" si="43"/>
        <v>8280.4</v>
      </c>
      <c r="J48" s="76">
        <f t="shared" si="43"/>
        <v>7720.89</v>
      </c>
      <c r="K48" s="76">
        <f t="shared" si="43"/>
        <v>11213.13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-0.12093731114383537</v>
      </c>
      <c r="B52" s="139">
        <f t="shared" ref="B52:B63" si="45">MAX(F52:K52)</f>
        <v>9.2748776655177334E-2</v>
      </c>
      <c r="C52" s="160">
        <f t="shared" ref="C52:C63" si="46">AVERAGE(F52:K52)</f>
        <v>1.3363543865238093E-2</v>
      </c>
      <c r="D52" s="160">
        <f t="shared" ref="D52:D63" si="47">MEDIAN(F52:K52)</f>
        <v>2.7154082699843103E-2</v>
      </c>
      <c r="E52" s="50" t="s">
        <v>350</v>
      </c>
      <c r="F52" s="119">
        <f t="shared" ref="F52:K52" si="48">(F65/(F70+F71))*100%</f>
        <v>-3.2943712000596773E-2</v>
      </c>
      <c r="G52" s="119">
        <f t="shared" si="48"/>
        <v>9.2748776655177334E-2</v>
      </c>
      <c r="H52" s="119">
        <f t="shared" si="48"/>
        <v>5.8949775395575138E-2</v>
      </c>
      <c r="I52" s="119">
        <f t="shared" si="48"/>
        <v>-4.6416099958889335E-3</v>
      </c>
      <c r="J52" s="119">
        <f t="shared" si="48"/>
        <v>8.7005344280997141E-2</v>
      </c>
      <c r="K52" s="120">
        <f t="shared" si="48"/>
        <v>-0.12093731114383537</v>
      </c>
    </row>
    <row r="53" spans="1:11" s="43" customFormat="1" ht="13.2" x14ac:dyDescent="0.25">
      <c r="A53" s="139">
        <f t="shared" si="44"/>
        <v>-2.1964482949011585E-2</v>
      </c>
      <c r="B53" s="139">
        <f t="shared" si="45"/>
        <v>0.18793318073161214</v>
      </c>
      <c r="C53" s="160">
        <f t="shared" si="46"/>
        <v>0.11555557086396166</v>
      </c>
      <c r="D53" s="160">
        <f t="shared" si="47"/>
        <v>0.13583841345884801</v>
      </c>
      <c r="E53" s="50" t="s">
        <v>351</v>
      </c>
      <c r="F53" s="119">
        <f>(F66/F70)*100%</f>
        <v>9.2822563336889957E-2</v>
      </c>
      <c r="G53" s="119">
        <f t="shared" ref="G53:K53" si="49">(G66/G70)*100%</f>
        <v>0.18793318073161214</v>
      </c>
      <c r="H53" s="119">
        <f t="shared" si="49"/>
        <v>0.16286533714658349</v>
      </c>
      <c r="I53" s="119">
        <f t="shared" si="49"/>
        <v>0.14211845852447239</v>
      </c>
      <c r="J53" s="119">
        <f t="shared" si="49"/>
        <v>0.1295583683932236</v>
      </c>
      <c r="K53" s="120">
        <f t="shared" si="49"/>
        <v>-2.1964482949011585E-2</v>
      </c>
    </row>
    <row r="54" spans="1:11" s="43" customFormat="1" ht="13.2" x14ac:dyDescent="0.25">
      <c r="A54" s="139">
        <f t="shared" si="44"/>
        <v>1.3639836899069764E-3</v>
      </c>
      <c r="B54" s="139">
        <f t="shared" si="45"/>
        <v>1.1368500037296185E-2</v>
      </c>
      <c r="C54" s="160">
        <f t="shared" si="46"/>
        <v>5.7651282728555771E-3</v>
      </c>
      <c r="D54" s="160">
        <f t="shared" si="47"/>
        <v>5.3026085980084191E-3</v>
      </c>
      <c r="E54" s="50" t="s">
        <v>342</v>
      </c>
      <c r="F54" s="119">
        <f>(F67/SUM(F72:F74))*100%</f>
        <v>1.3639836899069764E-3</v>
      </c>
      <c r="G54" s="119">
        <f t="shared" ref="G54:K54" si="50">(G67/SUM(G72:G74))*100%</f>
        <v>3.8823405663715579E-3</v>
      </c>
      <c r="H54" s="119">
        <f t="shared" si="50"/>
        <v>6.7228766296452813E-3</v>
      </c>
      <c r="I54" s="119">
        <f t="shared" si="50"/>
        <v>1.1368500037296185E-2</v>
      </c>
      <c r="J54" s="119">
        <f t="shared" si="50"/>
        <v>8.2935714739715179E-3</v>
      </c>
      <c r="K54" s="120">
        <f t="shared" si="50"/>
        <v>2.9594972399419454E-3</v>
      </c>
    </row>
    <row r="55" spans="1:11" s="43" customFormat="1" ht="13.2" x14ac:dyDescent="0.25">
      <c r="A55" s="139">
        <f t="shared" si="44"/>
        <v>-7.6394198488930203E-4</v>
      </c>
      <c r="B55" s="139">
        <f t="shared" si="45"/>
        <v>1.1499229022871578E-2</v>
      </c>
      <c r="C55" s="160">
        <f t="shared" si="46"/>
        <v>3.5748137256627938E-3</v>
      </c>
      <c r="D55" s="160">
        <f t="shared" si="47"/>
        <v>1.4459329498772667E-3</v>
      </c>
      <c r="E55" s="50" t="s">
        <v>343</v>
      </c>
      <c r="F55" s="119">
        <f>((F72-F76)/F76)*100%</f>
        <v>-5.4120061568310414E-4</v>
      </c>
      <c r="G55" s="119">
        <f t="shared" ref="G55:K57" si="51">((G72-G76)/G76)*100%</f>
        <v>-7.6415962165203772E-5</v>
      </c>
      <c r="H55" s="119">
        <f t="shared" si="51"/>
        <v>-7.6394198488930203E-4</v>
      </c>
      <c r="I55" s="119">
        <f t="shared" si="51"/>
        <v>1.1499229022871578E-2</v>
      </c>
      <c r="J55" s="119">
        <f t="shared" si="51"/>
        <v>8.3629300319230607E-3</v>
      </c>
      <c r="K55" s="120">
        <f t="shared" si="51"/>
        <v>2.9682818619197375E-3</v>
      </c>
    </row>
    <row r="56" spans="1:11" s="43" customFormat="1" ht="13.2" x14ac:dyDescent="0.25">
      <c r="A56" s="155" t="s">
        <v>389</v>
      </c>
      <c r="B56" s="155" t="s">
        <v>389</v>
      </c>
      <c r="C56" s="160" t="s">
        <v>389</v>
      </c>
      <c r="D56" s="160" t="s">
        <v>389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0.17803801599460983</v>
      </c>
      <c r="B57" s="139">
        <f t="shared" si="45"/>
        <v>1.6779312914278315</v>
      </c>
      <c r="C57" s="160">
        <f t="shared" si="46"/>
        <v>0.83997107559662254</v>
      </c>
      <c r="D57" s="160">
        <f t="shared" si="47"/>
        <v>0.66394391936742647</v>
      </c>
      <c r="E57" s="50" t="s">
        <v>346</v>
      </c>
      <c r="F57" s="119">
        <f>((F74-F78)/F78)*100%</f>
        <v>0.17803801599460983</v>
      </c>
      <c r="G57" s="119">
        <f t="shared" si="51"/>
        <v>0.66394391936742647</v>
      </c>
      <c r="H57" s="119">
        <f t="shared" si="51"/>
        <v>1.6779312914278315</v>
      </c>
      <c r="I57" s="177"/>
      <c r="J57" s="177"/>
      <c r="K57" s="178"/>
    </row>
    <row r="58" spans="1:11" s="43" customFormat="1" ht="13.2" x14ac:dyDescent="0.25">
      <c r="A58" s="139">
        <f t="shared" si="44"/>
        <v>-2.8394136368117277E-2</v>
      </c>
      <c r="B58" s="139">
        <f t="shared" si="45"/>
        <v>3.4786689326679977E-2</v>
      </c>
      <c r="C58" s="155">
        <f t="shared" si="46"/>
        <v>1.5453735966658047E-2</v>
      </c>
      <c r="D58" s="156">
        <f t="shared" si="47"/>
        <v>2.2369688912081617E-2</v>
      </c>
      <c r="E58" s="50" t="s">
        <v>356</v>
      </c>
      <c r="F58" s="71">
        <f>F68/(F70+F71+F72+F73+F74+F75)</f>
        <v>1.2071359361391832E-2</v>
      </c>
      <c r="G58" s="71">
        <f t="shared" ref="G58:K58" si="52">G68/(G70+G71+G72+G73+G74)</f>
        <v>3.4786689326679977E-2</v>
      </c>
      <c r="H58" s="71">
        <f t="shared" si="52"/>
        <v>2.9519125655830515E-2</v>
      </c>
      <c r="I58" s="71">
        <f t="shared" si="52"/>
        <v>2.5297555948232922E-2</v>
      </c>
      <c r="J58" s="71">
        <f t="shared" si="52"/>
        <v>1.9441821875930309E-2</v>
      </c>
      <c r="K58" s="72">
        <f t="shared" si="52"/>
        <v>-2.8394136368117277E-2</v>
      </c>
    </row>
    <row r="59" spans="1:11" s="43" customFormat="1" ht="13.2" x14ac:dyDescent="0.25">
      <c r="A59" s="139">
        <f t="shared" si="44"/>
        <v>-2.8436744685687427E-2</v>
      </c>
      <c r="B59" s="139">
        <f t="shared" si="45"/>
        <v>3.4786611058097945E-2</v>
      </c>
      <c r="C59" s="155">
        <f t="shared" si="46"/>
        <v>1.5441471973129962E-2</v>
      </c>
      <c r="D59" s="156">
        <f t="shared" si="47"/>
        <v>2.2355979869657042E-2</v>
      </c>
      <c r="E59" s="50" t="s">
        <v>361</v>
      </c>
      <c r="F59" s="71">
        <f>F69/(F70+F71+F72+F73+F74+F75)</f>
        <v>1.2071359361391832E-2</v>
      </c>
      <c r="G59" s="71">
        <f t="shared" ref="G59:K59" si="53">G69/(G70+G71+G72+G73+G74+G75)</f>
        <v>3.4786611058097945E-2</v>
      </c>
      <c r="H59" s="71">
        <f t="shared" si="53"/>
        <v>2.9515646365663336E-2</v>
      </c>
      <c r="I59" s="71">
        <f t="shared" si="53"/>
        <v>2.5274027964259219E-2</v>
      </c>
      <c r="J59" s="71">
        <f t="shared" si="53"/>
        <v>1.9437931775054866E-2</v>
      </c>
      <c r="K59" s="72">
        <f t="shared" si="53"/>
        <v>-2.8436744685687427E-2</v>
      </c>
    </row>
    <row r="60" spans="1:11" s="43" customFormat="1" ht="26.4" x14ac:dyDescent="0.25">
      <c r="A60" s="139">
        <f t="shared" si="44"/>
        <v>-8.9315205920302315E-2</v>
      </c>
      <c r="B60" s="139">
        <f t="shared" si="45"/>
        <v>7.4427347170552161E-2</v>
      </c>
      <c r="C60" s="160">
        <f t="shared" si="46"/>
        <v>1.6518462160681428E-2</v>
      </c>
      <c r="D60" s="160">
        <f t="shared" si="47"/>
        <v>3.1090960144019578E-2</v>
      </c>
      <c r="E60" s="50" t="s">
        <v>372</v>
      </c>
      <c r="F60" s="119">
        <f>F65/F79*100%</f>
        <v>-2.2315514688382925E-2</v>
      </c>
      <c r="G60" s="119">
        <f t="shared" ref="G60:K60" si="54">G65/G79*100%</f>
        <v>7.4132226114182492E-2</v>
      </c>
      <c r="H60" s="119">
        <f t="shared" si="54"/>
        <v>6.6271122042562261E-2</v>
      </c>
      <c r="I60" s="119">
        <f t="shared" si="54"/>
        <v>-4.0892017545231087E-3</v>
      </c>
      <c r="J60" s="119">
        <f t="shared" si="54"/>
        <v>7.4427347170552161E-2</v>
      </c>
      <c r="K60" s="120">
        <f t="shared" si="54"/>
        <v>-8.9315205920302315E-2</v>
      </c>
    </row>
    <row r="61" spans="1:11" s="43" customFormat="1" ht="13.2" x14ac:dyDescent="0.25">
      <c r="A61" s="139">
        <f t="shared" si="44"/>
        <v>-9.0838589735533951E-2</v>
      </c>
      <c r="B61" s="139">
        <f t="shared" si="45"/>
        <v>0.13982045719641101</v>
      </c>
      <c r="C61" s="155">
        <f t="shared" si="46"/>
        <v>5.9221100697124239E-2</v>
      </c>
      <c r="D61" s="156">
        <f t="shared" si="47"/>
        <v>7.9727051761423667E-2</v>
      </c>
      <c r="E61" s="50" t="s">
        <v>373</v>
      </c>
      <c r="F61" s="71">
        <f>F69/F79</f>
        <v>3.0923296252289734E-2</v>
      </c>
      <c r="G61" s="71">
        <f t="shared" ref="G61:K61" si="55">G69/G79</f>
        <v>0.11596733694673129</v>
      </c>
      <c r="H61" s="71">
        <f t="shared" si="55"/>
        <v>0.13982045719641101</v>
      </c>
      <c r="I61" s="71">
        <f t="shared" si="55"/>
        <v>8.7593539688998814E-2</v>
      </c>
      <c r="J61" s="71">
        <f t="shared" si="55"/>
        <v>7.186056383384852E-2</v>
      </c>
      <c r="K61" s="72">
        <f t="shared" si="55"/>
        <v>-9.0838589735533951E-2</v>
      </c>
    </row>
    <row r="62" spans="1:11" s="43" customFormat="1" ht="13.2" x14ac:dyDescent="0.25">
      <c r="A62" s="139">
        <f t="shared" si="44"/>
        <v>-1.6746637709683621</v>
      </c>
      <c r="B62" s="139">
        <f t="shared" si="45"/>
        <v>1.3813016975126615</v>
      </c>
      <c r="C62" s="155">
        <f t="shared" si="46"/>
        <v>0.37504665404734139</v>
      </c>
      <c r="D62" s="156">
        <f t="shared" si="47"/>
        <v>0.57169486202483277</v>
      </c>
      <c r="E62" s="50" t="s">
        <v>374</v>
      </c>
      <c r="F62" s="71">
        <f>F69/F80</f>
        <v>0.14822200439597727</v>
      </c>
      <c r="G62" s="71">
        <f>G66/G80</f>
        <v>0.53718289125300234</v>
      </c>
      <c r="H62" s="71">
        <f>H66/H80</f>
        <v>1.2520302692941061</v>
      </c>
      <c r="I62" s="71">
        <f>I66/I80</f>
        <v>0.60620683279666321</v>
      </c>
      <c r="J62" s="71">
        <f>J66/J80</f>
        <v>1.3813016975126615</v>
      </c>
      <c r="K62" s="72">
        <f>K66/K80</f>
        <v>-1.6746637709683621</v>
      </c>
    </row>
    <row r="63" spans="1:11" s="43" customFormat="1" ht="13.8" thickBot="1" x14ac:dyDescent="0.3">
      <c r="A63" s="139">
        <f t="shared" si="44"/>
        <v>-3.1647897431211542</v>
      </c>
      <c r="B63" s="139">
        <f t="shared" si="45"/>
        <v>0.86544250270963519</v>
      </c>
      <c r="C63" s="155">
        <f t="shared" si="46"/>
        <v>-0.29427260037383857</v>
      </c>
      <c r="D63" s="156">
        <f t="shared" si="47"/>
        <v>0.13376196717871988</v>
      </c>
      <c r="E63" s="51" t="s">
        <v>302</v>
      </c>
      <c r="F63" s="73">
        <f t="shared" ref="F63:K63" si="56">F65/(F80+F81)</f>
        <v>-0.10696305753611478</v>
      </c>
      <c r="G63" s="73">
        <f t="shared" si="56"/>
        <v>0.28691717950196111</v>
      </c>
      <c r="H63" s="73">
        <f t="shared" si="56"/>
        <v>0.3731507613471628</v>
      </c>
      <c r="I63" s="73">
        <f t="shared" si="56"/>
        <v>-1.9393245144521374E-2</v>
      </c>
      <c r="J63" s="73">
        <f t="shared" si="56"/>
        <v>0.86544250270963519</v>
      </c>
      <c r="K63" s="74">
        <f t="shared" si="56"/>
        <v>-3.1647897431211542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-224167.6</v>
      </c>
      <c r="G65" s="76">
        <f t="shared" ref="G65:K65" si="57">G97</f>
        <v>494667.29</v>
      </c>
      <c r="H65" s="76">
        <f t="shared" si="57"/>
        <v>264493.98</v>
      </c>
      <c r="I65" s="76">
        <f t="shared" si="57"/>
        <v>-18426.36</v>
      </c>
      <c r="J65" s="76">
        <f t="shared" si="57"/>
        <v>292876.76</v>
      </c>
      <c r="K65" s="76">
        <f t="shared" si="57"/>
        <v>-342888.67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572814.16</v>
      </c>
      <c r="G66" s="76">
        <f t="shared" ref="G66:K66" si="58">G95</f>
        <v>926144.63</v>
      </c>
      <c r="H66" s="76">
        <f t="shared" si="58"/>
        <v>674995.31</v>
      </c>
      <c r="I66" s="76">
        <f t="shared" si="58"/>
        <v>499812.49</v>
      </c>
      <c r="J66" s="76">
        <f t="shared" si="58"/>
        <v>433876.85</v>
      </c>
      <c r="K66" s="76">
        <f t="shared" si="58"/>
        <v>-62181.84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25816.57</v>
      </c>
      <c r="G67" s="76">
        <f t="shared" ref="G67:K67" si="59">G92</f>
        <v>65655.820000000007</v>
      </c>
      <c r="H67" s="76">
        <f t="shared" si="59"/>
        <v>96926.73</v>
      </c>
      <c r="I67" s="76">
        <f t="shared" si="59"/>
        <v>132246.25</v>
      </c>
      <c r="J67" s="76">
        <f t="shared" si="59"/>
        <v>92710.1</v>
      </c>
      <c r="K67" s="76">
        <f t="shared" si="59"/>
        <v>27895.72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310635.95</v>
      </c>
      <c r="G68" s="76">
        <f t="shared" ref="G68:K68" si="60">G102</f>
        <v>773823.36</v>
      </c>
      <c r="H68" s="76">
        <f t="shared" si="60"/>
        <v>558035.96</v>
      </c>
      <c r="I68" s="76">
        <f t="shared" si="60"/>
        <v>394705.42</v>
      </c>
      <c r="J68" s="76">
        <f t="shared" si="60"/>
        <v>282776.28999999998</v>
      </c>
      <c r="K68" s="76">
        <f t="shared" si="60"/>
        <v>-348143.07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310635.95</v>
      </c>
      <c r="G69" s="76">
        <f t="shared" ref="G69:K69" si="61">G104</f>
        <v>773823.36</v>
      </c>
      <c r="H69" s="76">
        <f t="shared" si="61"/>
        <v>558035.96</v>
      </c>
      <c r="I69" s="76">
        <f t="shared" si="61"/>
        <v>394705.42</v>
      </c>
      <c r="J69" s="76">
        <f t="shared" si="61"/>
        <v>282776.28999999998</v>
      </c>
      <c r="K69" s="76">
        <f t="shared" si="61"/>
        <v>-348737.07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6171065.9500000002</v>
      </c>
      <c r="G70" s="76">
        <f t="shared" ref="G70:K70" si="62">G93</f>
        <v>4928052.76</v>
      </c>
      <c r="H70" s="76">
        <f t="shared" si="62"/>
        <v>4144499.51</v>
      </c>
      <c r="I70" s="76">
        <f t="shared" si="62"/>
        <v>3516872.44</v>
      </c>
      <c r="J70" s="76">
        <f t="shared" si="62"/>
        <v>3348890.97</v>
      </c>
      <c r="K70" s="76">
        <f t="shared" si="62"/>
        <v>2831017.7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633498.15</v>
      </c>
      <c r="G71" s="76">
        <f t="shared" ref="G71:K71" si="63">G98</f>
        <v>405357.64</v>
      </c>
      <c r="H71" s="76">
        <f t="shared" si="63"/>
        <v>342268.73</v>
      </c>
      <c r="I71" s="76">
        <f t="shared" si="63"/>
        <v>452948.38</v>
      </c>
      <c r="J71" s="76">
        <f t="shared" si="63"/>
        <v>17301.79</v>
      </c>
      <c r="K71" s="76">
        <f t="shared" si="63"/>
        <v>4241.88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18689544.34</v>
      </c>
      <c r="G72" s="76">
        <f t="shared" ref="G72:K74" si="64">G85</f>
        <v>16743651.24</v>
      </c>
      <c r="H72" s="76">
        <f t="shared" si="64"/>
        <v>14245374.85</v>
      </c>
      <c r="I72" s="76">
        <f t="shared" si="64"/>
        <v>11632691.17</v>
      </c>
      <c r="J72" s="76">
        <f t="shared" si="64"/>
        <v>11178549.59</v>
      </c>
      <c r="K72" s="76">
        <f t="shared" si="64"/>
        <v>9425830.7200000007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237786.09</v>
      </c>
      <c r="G74" s="76">
        <f t="shared" si="64"/>
        <v>167750.24</v>
      </c>
      <c r="H74" s="76">
        <f t="shared" si="64"/>
        <v>172074.01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43">
        <f>F100</f>
        <v>1408.63</v>
      </c>
      <c r="G75" s="43">
        <f t="shared" ref="G75:K75" si="65">G100</f>
        <v>50.05</v>
      </c>
      <c r="H75" s="43">
        <f t="shared" si="65"/>
        <v>2228.42</v>
      </c>
      <c r="I75" s="43">
        <f t="shared" si="65"/>
        <v>14524.62</v>
      </c>
      <c r="J75" s="43">
        <f t="shared" si="65"/>
        <v>2910.83</v>
      </c>
      <c r="K75" s="43">
        <f t="shared" si="65"/>
        <v>2517.0100000000002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18699664.609999999</v>
      </c>
      <c r="G76" s="76">
        <f t="shared" ref="G76:K78" si="66">G89</f>
        <v>16744930.82</v>
      </c>
      <c r="H76" s="76">
        <f t="shared" si="66"/>
        <v>14256265.810000001</v>
      </c>
      <c r="I76" s="76">
        <f t="shared" si="66"/>
        <v>11500444.92</v>
      </c>
      <c r="J76" s="76">
        <f t="shared" si="66"/>
        <v>11085839.49</v>
      </c>
      <c r="K76" s="76">
        <f t="shared" si="66"/>
        <v>9397935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201849.25</v>
      </c>
      <c r="G78" s="76">
        <f t="shared" si="66"/>
        <v>100814.84</v>
      </c>
      <c r="H78" s="76">
        <f t="shared" si="66"/>
        <v>64256.32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10045369.92</v>
      </c>
      <c r="G79" s="76">
        <f t="shared" ref="G79:K79" si="67">G120</f>
        <v>6672769.9400000004</v>
      </c>
      <c r="H79" s="76">
        <f t="shared" si="67"/>
        <v>3991089.51</v>
      </c>
      <c r="I79" s="76">
        <f t="shared" si="67"/>
        <v>4506101.95</v>
      </c>
      <c r="J79" s="76">
        <f t="shared" si="67"/>
        <v>3935069.18</v>
      </c>
      <c r="K79" s="76">
        <f t="shared" si="67"/>
        <v>3839085.03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2095747.87</v>
      </c>
      <c r="G80" s="76">
        <f t="shared" ref="G80:K80" si="68">G122</f>
        <v>1724076.93</v>
      </c>
      <c r="H80" s="76">
        <f t="shared" si="68"/>
        <v>539120.6</v>
      </c>
      <c r="I80" s="76">
        <f t="shared" si="68"/>
        <v>824491.68</v>
      </c>
      <c r="J80" s="76">
        <f t="shared" si="68"/>
        <v>314107.23</v>
      </c>
      <c r="K80" s="76">
        <f t="shared" si="68"/>
        <v>37130.94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169692.05</v>
      </c>
      <c r="I81" s="43">
        <f t="shared" si="69"/>
        <v>125651.52</v>
      </c>
      <c r="J81" s="43">
        <f t="shared" si="69"/>
        <v>24305.5</v>
      </c>
      <c r="K81" s="43">
        <f t="shared" si="69"/>
        <v>71213.91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33">
        <v>18927330.43</v>
      </c>
      <c r="G84" s="33">
        <v>16911401.48</v>
      </c>
      <c r="H84" s="33">
        <v>14417448.859999999</v>
      </c>
      <c r="I84" s="33">
        <v>11632691.17</v>
      </c>
      <c r="J84" s="33">
        <v>11178549.59</v>
      </c>
      <c r="K84" s="33">
        <v>9425830.7200000007</v>
      </c>
    </row>
    <row r="85" spans="3:11" x14ac:dyDescent="0.3">
      <c r="E85" s="11" t="s">
        <v>3</v>
      </c>
      <c r="F85" s="34">
        <v>18689544.34</v>
      </c>
      <c r="G85" s="34">
        <v>16743651.24</v>
      </c>
      <c r="H85" s="34">
        <v>14245374.85</v>
      </c>
      <c r="I85" s="34">
        <v>11632691.17</v>
      </c>
      <c r="J85" s="34">
        <v>11178549.59</v>
      </c>
      <c r="K85" s="34">
        <v>9425830.7200000007</v>
      </c>
    </row>
    <row r="86" spans="3:11" x14ac:dyDescent="0.3">
      <c r="E86" s="11" t="s">
        <v>4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3:11" x14ac:dyDescent="0.3">
      <c r="E87" s="11" t="s">
        <v>5</v>
      </c>
      <c r="F87" s="34">
        <v>237786.09</v>
      </c>
      <c r="G87" s="34">
        <v>167750.24</v>
      </c>
      <c r="H87" s="34">
        <v>172074.01</v>
      </c>
      <c r="I87" s="4">
        <v>0</v>
      </c>
      <c r="J87" s="4">
        <v>0</v>
      </c>
      <c r="K87" s="4">
        <v>0</v>
      </c>
    </row>
    <row r="88" spans="3:11" x14ac:dyDescent="0.3">
      <c r="E88" s="11" t="s">
        <v>6</v>
      </c>
      <c r="F88" s="33">
        <v>18901513.859999999</v>
      </c>
      <c r="G88" s="33">
        <v>16845745.66</v>
      </c>
      <c r="H88" s="33">
        <v>14320522.130000001</v>
      </c>
      <c r="I88" s="33">
        <v>11500444.92</v>
      </c>
      <c r="J88" s="33">
        <v>11085839.49</v>
      </c>
      <c r="K88" s="33">
        <v>9397935</v>
      </c>
    </row>
    <row r="89" spans="3:11" x14ac:dyDescent="0.3">
      <c r="E89" s="11" t="s">
        <v>7</v>
      </c>
      <c r="F89" s="34">
        <v>18699664.609999999</v>
      </c>
      <c r="G89" s="34">
        <v>16744930.82</v>
      </c>
      <c r="H89" s="34">
        <v>14256265.810000001</v>
      </c>
      <c r="I89" s="34">
        <v>11500444.92</v>
      </c>
      <c r="J89" s="34">
        <v>11085839.49</v>
      </c>
      <c r="K89" s="34">
        <v>9397935</v>
      </c>
    </row>
    <row r="90" spans="3:11" x14ac:dyDescent="0.3">
      <c r="E90" s="11" t="s">
        <v>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3:11" x14ac:dyDescent="0.3">
      <c r="E91" s="11" t="s">
        <v>9</v>
      </c>
      <c r="F91" s="34">
        <v>201849.25</v>
      </c>
      <c r="G91" s="34">
        <v>100814.84</v>
      </c>
      <c r="H91" s="34">
        <v>64256.32</v>
      </c>
      <c r="I91" s="4">
        <v>0</v>
      </c>
      <c r="J91" s="4">
        <v>0</v>
      </c>
      <c r="K91" s="4">
        <v>0</v>
      </c>
    </row>
    <row r="92" spans="3:11" x14ac:dyDescent="0.3">
      <c r="E92" s="11" t="s">
        <v>10</v>
      </c>
      <c r="F92" s="33">
        <v>25816.57</v>
      </c>
      <c r="G92" s="33">
        <v>65655.820000000007</v>
      </c>
      <c r="H92" s="33">
        <v>96926.73</v>
      </c>
      <c r="I92" s="33">
        <v>132246.25</v>
      </c>
      <c r="J92" s="33">
        <v>92710.1</v>
      </c>
      <c r="K92" s="33">
        <v>27895.72</v>
      </c>
    </row>
    <row r="93" spans="3:11" x14ac:dyDescent="0.3">
      <c r="E93" s="11" t="s">
        <v>11</v>
      </c>
      <c r="F93" s="33">
        <v>6171065.9500000002</v>
      </c>
      <c r="G93" s="33">
        <v>4928052.76</v>
      </c>
      <c r="H93" s="33">
        <v>4144499.51</v>
      </c>
      <c r="I93" s="33">
        <v>3516872.44</v>
      </c>
      <c r="J93" s="33">
        <v>3348890.97</v>
      </c>
      <c r="K93" s="33">
        <v>2831017.7</v>
      </c>
    </row>
    <row r="94" spans="3:11" x14ac:dyDescent="0.3">
      <c r="E94" s="11" t="s">
        <v>12</v>
      </c>
      <c r="F94" s="33">
        <v>5598251.79</v>
      </c>
      <c r="G94" s="33">
        <v>4001908.13</v>
      </c>
      <c r="H94" s="33">
        <v>3469504.2</v>
      </c>
      <c r="I94" s="33">
        <v>3017059.95</v>
      </c>
      <c r="J94" s="33">
        <v>2915014.12</v>
      </c>
      <c r="K94" s="33">
        <v>2893199.54</v>
      </c>
    </row>
    <row r="95" spans="3:11" x14ac:dyDescent="0.3">
      <c r="E95" s="11" t="s">
        <v>13</v>
      </c>
      <c r="F95" s="33">
        <v>572814.16</v>
      </c>
      <c r="G95" s="33">
        <v>926144.63</v>
      </c>
      <c r="H95" s="33">
        <v>674995.31</v>
      </c>
      <c r="I95" s="33">
        <v>499812.49</v>
      </c>
      <c r="J95" s="33">
        <v>433876.85</v>
      </c>
      <c r="K95" s="33">
        <v>-62181.84</v>
      </c>
    </row>
    <row r="96" spans="3:11" x14ac:dyDescent="0.3">
      <c r="E96" s="11" t="s">
        <v>14</v>
      </c>
      <c r="F96" s="33">
        <v>822798.33</v>
      </c>
      <c r="G96" s="33">
        <v>497133.16</v>
      </c>
      <c r="H96" s="33">
        <v>507428.06</v>
      </c>
      <c r="I96" s="33">
        <v>650485.1</v>
      </c>
      <c r="J96" s="33">
        <v>233710.19</v>
      </c>
      <c r="K96" s="33">
        <v>308602.55</v>
      </c>
    </row>
    <row r="97" spans="5:11" x14ac:dyDescent="0.3">
      <c r="E97" s="11" t="s">
        <v>15</v>
      </c>
      <c r="F97" s="33">
        <v>-224167.6</v>
      </c>
      <c r="G97" s="33">
        <v>494667.29</v>
      </c>
      <c r="H97" s="33">
        <v>264493.98</v>
      </c>
      <c r="I97" s="33">
        <v>-18426.36</v>
      </c>
      <c r="J97" s="33">
        <v>292876.76</v>
      </c>
      <c r="K97" s="33">
        <v>-342888.67</v>
      </c>
    </row>
    <row r="98" spans="5:11" x14ac:dyDescent="0.3">
      <c r="E98" s="11" t="s">
        <v>16</v>
      </c>
      <c r="F98" s="33">
        <v>633498.15</v>
      </c>
      <c r="G98" s="33">
        <v>405357.64</v>
      </c>
      <c r="H98" s="33">
        <v>342268.73</v>
      </c>
      <c r="I98" s="33">
        <v>452948.38</v>
      </c>
      <c r="J98" s="33">
        <v>17301.79</v>
      </c>
      <c r="K98" s="33">
        <v>4241.88</v>
      </c>
    </row>
    <row r="99" spans="5:11" x14ac:dyDescent="0.3">
      <c r="E99" s="11" t="s">
        <v>17</v>
      </c>
      <c r="F99" s="33">
        <v>40307.440000000002</v>
      </c>
      <c r="G99" s="33">
        <v>97634.09</v>
      </c>
      <c r="H99" s="33">
        <v>48220.49</v>
      </c>
      <c r="I99" s="33">
        <v>46060.82</v>
      </c>
      <c r="J99" s="33">
        <v>22592.2</v>
      </c>
      <c r="K99" s="3">
        <v>800.16</v>
      </c>
    </row>
    <row r="100" spans="5:11" x14ac:dyDescent="0.3">
      <c r="E100" s="11" t="s">
        <v>18</v>
      </c>
      <c r="F100" s="33">
        <v>1408.63</v>
      </c>
      <c r="G100" s="3">
        <v>50.05</v>
      </c>
      <c r="H100" s="33">
        <v>2228.42</v>
      </c>
      <c r="I100" s="33">
        <v>14524.62</v>
      </c>
      <c r="J100" s="33">
        <v>2910.83</v>
      </c>
      <c r="K100" s="33">
        <v>2517.0100000000002</v>
      </c>
    </row>
    <row r="101" spans="5:11" x14ac:dyDescent="0.3">
      <c r="E101" s="11" t="s">
        <v>19</v>
      </c>
      <c r="F101" s="33">
        <v>59795.79</v>
      </c>
      <c r="G101" s="33">
        <v>28617.53</v>
      </c>
      <c r="H101" s="33">
        <v>2734.68</v>
      </c>
      <c r="I101" s="33">
        <v>8280.4</v>
      </c>
      <c r="J101" s="33">
        <v>7720.89</v>
      </c>
      <c r="K101" s="33">
        <v>11213.13</v>
      </c>
    </row>
    <row r="102" spans="5:11" x14ac:dyDescent="0.3">
      <c r="E102" s="11" t="s">
        <v>20</v>
      </c>
      <c r="F102" s="33">
        <v>310635.95</v>
      </c>
      <c r="G102" s="33">
        <v>773823.36</v>
      </c>
      <c r="H102" s="33">
        <v>558035.96</v>
      </c>
      <c r="I102" s="33">
        <v>394705.42</v>
      </c>
      <c r="J102" s="33">
        <v>282776.28999999998</v>
      </c>
      <c r="K102" s="33">
        <v>-348143.07</v>
      </c>
    </row>
    <row r="103" spans="5:11" x14ac:dyDescent="0.3">
      <c r="E103" s="11" t="s">
        <v>21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594</v>
      </c>
    </row>
    <row r="104" spans="5:11" x14ac:dyDescent="0.3">
      <c r="E104" s="11" t="s">
        <v>22</v>
      </c>
      <c r="F104" s="33">
        <v>310635.95</v>
      </c>
      <c r="G104" s="33">
        <v>773823.36</v>
      </c>
      <c r="H104" s="33">
        <v>558035.96</v>
      </c>
      <c r="I104" s="33">
        <v>394705.42</v>
      </c>
      <c r="J104" s="33">
        <v>282776.28999999998</v>
      </c>
      <c r="K104" s="33">
        <v>-348737.07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5719850.2300000004</v>
      </c>
      <c r="G108" s="90">
        <v>1950606.99</v>
      </c>
      <c r="H108" s="90">
        <v>2043418.84</v>
      </c>
      <c r="I108" s="90">
        <v>1763418.41</v>
      </c>
      <c r="J108" s="90">
        <v>2519161.2000000002</v>
      </c>
      <c r="K108" s="90">
        <v>2756760.61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5717350.2300000004</v>
      </c>
      <c r="G110" s="90">
        <v>1948106.99</v>
      </c>
      <c r="H110" s="90">
        <v>2040918.84</v>
      </c>
      <c r="I110" s="90">
        <v>1760918.41</v>
      </c>
      <c r="J110" s="90">
        <v>2516661.2000000002</v>
      </c>
      <c r="K110" s="90">
        <v>2754260.61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90">
        <v>2500</v>
      </c>
      <c r="G112" s="90">
        <v>2500</v>
      </c>
      <c r="H112" s="90">
        <v>2500</v>
      </c>
      <c r="I112" s="90">
        <v>2500</v>
      </c>
      <c r="J112" s="90">
        <v>2500</v>
      </c>
      <c r="K112" s="90">
        <v>2500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4325519.6900000004</v>
      </c>
      <c r="G114" s="90">
        <v>4722162.95</v>
      </c>
      <c r="H114" s="90">
        <v>1947670.67</v>
      </c>
      <c r="I114" s="90">
        <v>2742683.54</v>
      </c>
      <c r="J114" s="90">
        <v>1415907.98</v>
      </c>
      <c r="K114" s="90">
        <v>1082324.42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1128496.27</v>
      </c>
      <c r="G116" s="90">
        <v>1138760.3</v>
      </c>
      <c r="H116" s="90">
        <v>403142.71</v>
      </c>
      <c r="I116" s="90">
        <v>320269.76</v>
      </c>
      <c r="J116" s="90">
        <v>370290.9</v>
      </c>
      <c r="K116" s="90">
        <v>325078.71000000002</v>
      </c>
    </row>
    <row r="117" spans="5:11" ht="15" customHeight="1" x14ac:dyDescent="0.3">
      <c r="E117" s="8" t="s">
        <v>36</v>
      </c>
      <c r="F117" s="90">
        <v>3165693.69</v>
      </c>
      <c r="G117" s="90">
        <v>3571603.87</v>
      </c>
      <c r="H117" s="90">
        <v>1537169.14</v>
      </c>
      <c r="I117" s="90">
        <v>2418351.44</v>
      </c>
      <c r="J117" s="90">
        <v>1028234.57</v>
      </c>
      <c r="K117" s="90">
        <v>750835.98</v>
      </c>
    </row>
    <row r="118" spans="5:11" ht="15" customHeight="1" x14ac:dyDescent="0.3">
      <c r="E118" s="8" t="s">
        <v>37</v>
      </c>
      <c r="F118" s="90">
        <v>31329.73</v>
      </c>
      <c r="G118" s="90">
        <v>11798.78</v>
      </c>
      <c r="H118" s="90">
        <v>7358.82</v>
      </c>
      <c r="I118" s="90">
        <v>4062.34</v>
      </c>
      <c r="J118" s="90">
        <v>17382.509999999998</v>
      </c>
      <c r="K118" s="90">
        <v>6409.73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10045369.92</v>
      </c>
      <c r="G120" s="90">
        <v>6672769.9400000004</v>
      </c>
      <c r="H120" s="90">
        <v>3991089.51</v>
      </c>
      <c r="I120" s="90">
        <v>4506101.95</v>
      </c>
      <c r="J120" s="90">
        <v>3935069.18</v>
      </c>
      <c r="K120" s="90">
        <v>3839085.03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2095747.87</v>
      </c>
      <c r="G122" s="90">
        <v>1724076.93</v>
      </c>
      <c r="H122" s="90">
        <v>539120.6</v>
      </c>
      <c r="I122" s="90">
        <v>824491.68</v>
      </c>
      <c r="J122" s="90">
        <v>314107.23</v>
      </c>
      <c r="K122" s="90">
        <v>37130.94</v>
      </c>
    </row>
    <row r="123" spans="5:11" x14ac:dyDescent="0.3">
      <c r="E123" s="8" t="s">
        <v>42</v>
      </c>
      <c r="F123" s="90">
        <v>210374.96</v>
      </c>
      <c r="G123" s="90">
        <v>210374.96</v>
      </c>
      <c r="H123" s="90">
        <v>210374.96</v>
      </c>
      <c r="I123" s="90">
        <v>210374.96</v>
      </c>
      <c r="J123" s="90">
        <v>210374.96</v>
      </c>
      <c r="K123" s="90">
        <v>210374.96</v>
      </c>
    </row>
    <row r="124" spans="5:11" x14ac:dyDescent="0.3">
      <c r="E124" s="8" t="s">
        <v>43</v>
      </c>
      <c r="F124" s="90">
        <v>41694.6</v>
      </c>
      <c r="G124" s="107">
        <v>0</v>
      </c>
      <c r="H124" s="107">
        <v>0</v>
      </c>
      <c r="I124" s="107">
        <v>0</v>
      </c>
      <c r="J124" s="90">
        <v>169692.05</v>
      </c>
      <c r="K124" s="90">
        <v>175492.05</v>
      </c>
    </row>
    <row r="125" spans="5:11" ht="15" customHeight="1" x14ac:dyDescent="0.3">
      <c r="E125" s="8" t="s">
        <v>44</v>
      </c>
      <c r="F125" s="90">
        <v>1533042.36</v>
      </c>
      <c r="G125" s="90">
        <v>739878.61</v>
      </c>
      <c r="H125" s="90">
        <v>-65959.78</v>
      </c>
      <c r="I125" s="90">
        <v>56080.76</v>
      </c>
      <c r="J125" s="90">
        <v>-348736.07</v>
      </c>
      <c r="K125" s="107">
        <v>0</v>
      </c>
    </row>
    <row r="126" spans="5:11" x14ac:dyDescent="0.3">
      <c r="E126" s="8" t="s">
        <v>45</v>
      </c>
      <c r="F126" s="90">
        <v>310635.95</v>
      </c>
      <c r="G126" s="90">
        <v>773823.36</v>
      </c>
      <c r="H126" s="90">
        <v>394705.42</v>
      </c>
      <c r="I126" s="90">
        <v>558035.96</v>
      </c>
      <c r="J126" s="90">
        <v>282776.28999999998</v>
      </c>
      <c r="K126" s="90">
        <v>-348736.07</v>
      </c>
    </row>
    <row r="127" spans="5:11" ht="15" customHeight="1" x14ac:dyDescent="0.3">
      <c r="E127" s="18" t="s">
        <v>91</v>
      </c>
      <c r="F127" s="90">
        <v>7949622.0499999998</v>
      </c>
      <c r="G127" s="90">
        <v>4948693.01</v>
      </c>
      <c r="H127" s="90">
        <v>3451968.91</v>
      </c>
      <c r="I127" s="90">
        <v>3681610.27</v>
      </c>
      <c r="J127" s="90">
        <v>3620961.95</v>
      </c>
      <c r="K127" s="90">
        <v>3801954.09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90">
        <v>169692.05</v>
      </c>
      <c r="I129" s="90">
        <v>125651.52</v>
      </c>
      <c r="J129" s="90">
        <v>24305.5</v>
      </c>
      <c r="K129" s="90">
        <v>71213.91</v>
      </c>
    </row>
    <row r="130" spans="5:11" ht="15" customHeight="1" x14ac:dyDescent="0.3">
      <c r="E130" s="17" t="s">
        <v>90</v>
      </c>
      <c r="F130" s="90">
        <v>942123.05</v>
      </c>
      <c r="G130" s="90">
        <v>848703.58</v>
      </c>
      <c r="H130" s="90">
        <v>618228.29</v>
      </c>
      <c r="I130" s="90">
        <v>883165.19</v>
      </c>
      <c r="J130" s="90">
        <v>650817.05000000005</v>
      </c>
      <c r="K130" s="90">
        <v>654015.43000000005</v>
      </c>
    </row>
    <row r="131" spans="5:11" ht="15" customHeight="1" x14ac:dyDescent="0.3">
      <c r="E131" s="17" t="s">
        <v>88</v>
      </c>
      <c r="F131" s="90">
        <v>7007499</v>
      </c>
      <c r="G131" s="90">
        <v>4099989.43</v>
      </c>
      <c r="H131" s="90">
        <v>2664048.5699999998</v>
      </c>
      <c r="I131" s="90">
        <v>2672793.56</v>
      </c>
      <c r="J131" s="90">
        <v>2945839.4</v>
      </c>
      <c r="K131" s="90">
        <v>3076724.75</v>
      </c>
    </row>
    <row r="132" spans="5:11" x14ac:dyDescent="0.3">
      <c r="E132" s="7" t="s">
        <v>47</v>
      </c>
      <c r="F132" s="90">
        <v>10045369.92</v>
      </c>
      <c r="G132" s="90">
        <v>6672769.9400000004</v>
      </c>
      <c r="H132" s="90">
        <v>3991089.51</v>
      </c>
      <c r="I132" s="90">
        <v>4506101.95</v>
      </c>
      <c r="J132" s="90">
        <v>3935069.18</v>
      </c>
      <c r="K132" s="90">
        <v>3839085.03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B9F0A-685B-4741-A510-CF203B3B2C84}">
  <sheetPr>
    <tabColor theme="5" tint="0.79998168889431442"/>
  </sheetPr>
  <dimension ref="A1:N177"/>
  <sheetViews>
    <sheetView topLeftCell="A174" workbookViewId="0">
      <selection sqref="A1:L20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4" x14ac:dyDescent="0.3">
      <c r="E1" s="186" t="s">
        <v>397</v>
      </c>
      <c r="F1" s="185"/>
      <c r="G1" s="185"/>
      <c r="H1" s="185"/>
      <c r="I1" s="185"/>
      <c r="J1" s="185"/>
      <c r="K1" s="185"/>
    </row>
    <row r="2" spans="1:14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4" s="43" customFormat="1" ht="13.2" x14ac:dyDescent="0.25">
      <c r="A4" s="139">
        <f>MIN(F4:K4)</f>
        <v>6.3243178879821169</v>
      </c>
      <c r="B4" s="139">
        <f>MAX(F4:K4)</f>
        <v>90.88535081702625</v>
      </c>
      <c r="C4" s="155">
        <f>AVERAGE(F4:K4)</f>
        <v>51.402015395809123</v>
      </c>
      <c r="D4" s="156">
        <f>MEDIAN(F4:K4)</f>
        <v>54.515789325489976</v>
      </c>
      <c r="E4" s="47" t="s">
        <v>364</v>
      </c>
      <c r="F4" s="71">
        <f>SUM(F9:F12)/SUM(F13:F15)</f>
        <v>6.3243178879821169</v>
      </c>
      <c r="G4" s="71">
        <f t="shared" ref="G4:K4" si="0">SUM(G9:G12)/SUM(G13:G15)</f>
        <v>16.315960299002334</v>
      </c>
      <c r="H4" s="71">
        <f t="shared" si="0"/>
        <v>70.74589624017338</v>
      </c>
      <c r="I4" s="71">
        <f t="shared" si="0"/>
        <v>85.854884719864117</v>
      </c>
      <c r="J4" s="71">
        <f t="shared" si="0"/>
        <v>38.285682410806565</v>
      </c>
      <c r="K4" s="71">
        <f t="shared" si="0"/>
        <v>90.88535081702625</v>
      </c>
      <c r="M4" s="139"/>
      <c r="N4" s="139"/>
    </row>
    <row r="5" spans="1:14" s="43" customFormat="1" ht="13.2" x14ac:dyDescent="0.25">
      <c r="A5" s="139">
        <f t="shared" ref="A5:A7" si="1">MIN(F5:K5)</f>
        <v>38.285682410806565</v>
      </c>
      <c r="B5" s="139">
        <f t="shared" ref="B5:B7" si="2">MAX(F5:K5)</f>
        <v>90.88535081702625</v>
      </c>
      <c r="C5" s="155">
        <f t="shared" ref="C5:C7" si="3">AVERAGEIF(F5:K5,"&gt;0")</f>
        <v>62.565799880444274</v>
      </c>
      <c r="D5" s="156">
        <f t="shared" ref="D5:D7" si="4">_xlfn.AGGREGATE(12,6,F5:K5)</f>
        <v>58.104918935309357</v>
      </c>
      <c r="E5" s="47" t="s">
        <v>363</v>
      </c>
      <c r="F5" s="71">
        <f t="shared" ref="F5:K5" si="5">SUM(F9:F12)/F14</f>
        <v>45.463941630445333</v>
      </c>
      <c r="G5" s="71">
        <f t="shared" si="5"/>
        <v>44.159043464350027</v>
      </c>
      <c r="H5" s="71">
        <f t="shared" si="5"/>
        <v>70.74589624017338</v>
      </c>
      <c r="I5" s="71">
        <f t="shared" si="5"/>
        <v>85.854884719864117</v>
      </c>
      <c r="J5" s="71">
        <f t="shared" si="5"/>
        <v>38.285682410806565</v>
      </c>
      <c r="K5" s="71">
        <f t="shared" si="5"/>
        <v>90.88535081702625</v>
      </c>
    </row>
    <row r="6" spans="1:14" s="43" customFormat="1" ht="13.2" x14ac:dyDescent="0.25">
      <c r="A6" s="139">
        <f t="shared" si="1"/>
        <v>38.256015006973008</v>
      </c>
      <c r="B6" s="139">
        <f t="shared" si="2"/>
        <v>90.88535081702625</v>
      </c>
      <c r="C6" s="155">
        <f t="shared" si="3"/>
        <v>62.531144436977534</v>
      </c>
      <c r="D6" s="156">
        <f t="shared" si="4"/>
        <v>58.071470181592801</v>
      </c>
      <c r="E6" s="47" t="s">
        <v>365</v>
      </c>
      <c r="F6" s="71">
        <f t="shared" ref="F6:K6" si="6">SUM(F10:F11)/F14</f>
        <v>45.436363292762032</v>
      </c>
      <c r="G6" s="71">
        <f t="shared" si="6"/>
        <v>44.136985737064542</v>
      </c>
      <c r="H6" s="71">
        <f t="shared" si="6"/>
        <v>70.706577070423577</v>
      </c>
      <c r="I6" s="71">
        <f t="shared" si="6"/>
        <v>85.765574697615818</v>
      </c>
      <c r="J6" s="71">
        <f t="shared" si="6"/>
        <v>38.256015006973008</v>
      </c>
      <c r="K6" s="71">
        <f t="shared" si="6"/>
        <v>90.88535081702625</v>
      </c>
    </row>
    <row r="7" spans="1:14" s="43" customFormat="1" ht="13.8" thickBot="1" x14ac:dyDescent="0.3">
      <c r="A7" s="139">
        <f t="shared" si="1"/>
        <v>33.571475242869717</v>
      </c>
      <c r="B7" s="139">
        <f t="shared" si="2"/>
        <v>79.209529288302264</v>
      </c>
      <c r="C7" s="155">
        <f t="shared" si="3"/>
        <v>55.169495113920313</v>
      </c>
      <c r="D7" s="156">
        <f t="shared" si="4"/>
        <v>52.428196270330382</v>
      </c>
      <c r="E7" s="49" t="s">
        <v>366</v>
      </c>
      <c r="F7" s="73">
        <f t="shared" ref="F7:K7" si="7">F11/F14</f>
        <v>40.561964788264802</v>
      </c>
      <c r="G7" s="73">
        <f t="shared" si="7"/>
        <v>39.590426746149589</v>
      </c>
      <c r="H7" s="73">
        <f t="shared" si="7"/>
        <v>64.294427752395961</v>
      </c>
      <c r="I7" s="73">
        <f t="shared" si="7"/>
        <v>73.789146865539507</v>
      </c>
      <c r="J7" s="73">
        <f t="shared" si="7"/>
        <v>33.571475242869717</v>
      </c>
      <c r="K7" s="73">
        <f t="shared" si="7"/>
        <v>79.209529288302264</v>
      </c>
    </row>
    <row r="8" spans="1:14" s="43" customFormat="1" ht="13.2" x14ac:dyDescent="0.25">
      <c r="C8" s="79"/>
      <c r="D8" s="79"/>
    </row>
    <row r="9" spans="1:14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s="43" customFormat="1" ht="13.2" x14ac:dyDescent="0.25">
      <c r="C10" s="79"/>
      <c r="D10" s="79"/>
      <c r="E10" s="43" t="s">
        <v>288</v>
      </c>
      <c r="F10" s="76">
        <f>F116</f>
        <v>477171.93</v>
      </c>
      <c r="G10" s="76">
        <f t="shared" si="8"/>
        <v>426023.08</v>
      </c>
      <c r="H10" s="76">
        <f t="shared" si="8"/>
        <v>349763.06</v>
      </c>
      <c r="I10" s="76">
        <f t="shared" si="8"/>
        <v>596337.72</v>
      </c>
      <c r="J10" s="76">
        <f t="shared" si="8"/>
        <v>472181.98</v>
      </c>
      <c r="K10" s="76">
        <f t="shared" si="8"/>
        <v>490761.75</v>
      </c>
    </row>
    <row r="11" spans="1:14" s="43" customFormat="1" ht="13.2" x14ac:dyDescent="0.25">
      <c r="C11" s="79"/>
      <c r="D11" s="79"/>
      <c r="E11" s="43" t="s">
        <v>287</v>
      </c>
      <c r="F11" s="76">
        <f>F117</f>
        <v>3970752.7</v>
      </c>
      <c r="G11" s="76">
        <f t="shared" si="8"/>
        <v>3709714.44</v>
      </c>
      <c r="H11" s="76">
        <f t="shared" si="8"/>
        <v>3507063.65</v>
      </c>
      <c r="I11" s="76">
        <f t="shared" si="8"/>
        <v>3674154.95</v>
      </c>
      <c r="J11" s="76">
        <f t="shared" si="8"/>
        <v>3383864.04</v>
      </c>
      <c r="K11" s="76">
        <f t="shared" si="8"/>
        <v>3329359.49</v>
      </c>
    </row>
    <row r="12" spans="1:14" s="43" customFormat="1" ht="13.2" x14ac:dyDescent="0.25">
      <c r="C12" s="79"/>
      <c r="D12" s="79"/>
      <c r="E12" s="43" t="s">
        <v>290</v>
      </c>
      <c r="F12" s="76">
        <f>F118</f>
        <v>2699.74</v>
      </c>
      <c r="G12" s="76">
        <f t="shared" si="8"/>
        <v>2066.86</v>
      </c>
      <c r="H12" s="76">
        <f t="shared" si="8"/>
        <v>2144.7399999999998</v>
      </c>
      <c r="I12" s="76">
        <f t="shared" si="8"/>
        <v>4446.9799999999996</v>
      </c>
      <c r="J12" s="76">
        <f t="shared" si="8"/>
        <v>2990.35</v>
      </c>
      <c r="K12" s="76">
        <f t="shared" si="8"/>
        <v>0</v>
      </c>
    </row>
    <row r="13" spans="1:14" s="43" customFormat="1" ht="13.2" x14ac:dyDescent="0.25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4" s="43" customFormat="1" ht="13.2" x14ac:dyDescent="0.25">
      <c r="C14" s="79"/>
      <c r="D14" s="79"/>
      <c r="E14" s="43" t="s">
        <v>286</v>
      </c>
      <c r="F14" s="76">
        <f>F130</f>
        <v>97893.5</v>
      </c>
      <c r="G14" s="76">
        <f t="shared" ref="G14:K15" si="10">G130</f>
        <v>93702.31</v>
      </c>
      <c r="H14" s="76">
        <f t="shared" si="10"/>
        <v>54546.93</v>
      </c>
      <c r="I14" s="76">
        <f t="shared" si="10"/>
        <v>49792.62</v>
      </c>
      <c r="J14" s="76">
        <f t="shared" si="10"/>
        <v>100795.81</v>
      </c>
      <c r="K14" s="76">
        <f t="shared" si="10"/>
        <v>42032.31</v>
      </c>
    </row>
    <row r="15" spans="1:14" s="43" customFormat="1" ht="13.2" x14ac:dyDescent="0.25">
      <c r="C15" s="79"/>
      <c r="D15" s="79"/>
      <c r="E15" s="43" t="s">
        <v>362</v>
      </c>
      <c r="F15" s="76">
        <f>F131</f>
        <v>605838.42000000004</v>
      </c>
      <c r="G15" s="76">
        <f t="shared" si="10"/>
        <v>159902.39999999999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4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28.531321354358411</v>
      </c>
      <c r="B19" s="152">
        <f t="shared" ref="B19:B25" si="12">MAX(F19:K19)</f>
        <v>87.63477100174039</v>
      </c>
      <c r="C19" s="156">
        <f>AVERAGE(F19:K19)</f>
        <v>49.125280948995623</v>
      </c>
      <c r="D19" s="156">
        <f>MEDIAN(F19:K19)</f>
        <v>44.151972334060417</v>
      </c>
      <c r="E19" s="47" t="s">
        <v>293</v>
      </c>
      <c r="F19" s="71">
        <f>F28/(F27/365)</f>
        <v>28.531321354358411</v>
      </c>
      <c r="G19" s="71">
        <f t="shared" ref="G19:K19" si="13">G28/(G27/365)</f>
        <v>31.165885294261873</v>
      </c>
      <c r="H19" s="71">
        <f t="shared" si="13"/>
        <v>30.825014110699552</v>
      </c>
      <c r="I19" s="71">
        <f t="shared" si="13"/>
        <v>59.45663455905455</v>
      </c>
      <c r="J19" s="71">
        <f t="shared" si="13"/>
        <v>57.138059373858958</v>
      </c>
      <c r="K19" s="71">
        <f t="shared" si="13"/>
        <v>87.63477100174039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4.8072826414125629</v>
      </c>
      <c r="B21" s="152">
        <f t="shared" si="12"/>
        <v>12.197155377289508</v>
      </c>
      <c r="C21" s="156">
        <f t="shared" si="14"/>
        <v>7.0304502889180478</v>
      </c>
      <c r="D21" s="156">
        <f t="shared" si="15"/>
        <v>6.3540650666412803</v>
      </c>
      <c r="E21" s="47" t="s">
        <v>368</v>
      </c>
      <c r="F21" s="71">
        <f>F30/(F27/365)</f>
        <v>5.8533009412412111</v>
      </c>
      <c r="G21" s="71">
        <f t="shared" ref="G21:K21" si="17">G30/(G27/365)</f>
        <v>6.8548291920413496</v>
      </c>
      <c r="H21" s="71">
        <f t="shared" si="17"/>
        <v>4.8072826414125629</v>
      </c>
      <c r="I21" s="71">
        <f t="shared" si="17"/>
        <v>4.9644714928947824</v>
      </c>
      <c r="J21" s="71">
        <f t="shared" si="17"/>
        <v>12.197155377289508</v>
      </c>
      <c r="K21" s="71">
        <f t="shared" si="17"/>
        <v>7.5056620886288767</v>
      </c>
    </row>
    <row r="22" spans="1:11" s="43" customFormat="1" ht="13.2" x14ac:dyDescent="0.25">
      <c r="A22" s="152">
        <f t="shared" si="11"/>
        <v>22.678020413117199</v>
      </c>
      <c r="B22" s="152">
        <f t="shared" si="12"/>
        <v>80.129108913111509</v>
      </c>
      <c r="C22" s="156">
        <f t="shared" si="14"/>
        <v>42.094830660077577</v>
      </c>
      <c r="D22" s="156">
        <f t="shared" si="15"/>
        <v>35.479317732928216</v>
      </c>
      <c r="E22" s="47" t="s">
        <v>294</v>
      </c>
      <c r="F22" s="71">
        <f>F19+F20-F21</f>
        <v>22.678020413117199</v>
      </c>
      <c r="G22" s="71">
        <f t="shared" ref="G22:K22" si="18">G19+G20-G21</f>
        <v>24.311056102220522</v>
      </c>
      <c r="H22" s="71">
        <f t="shared" si="18"/>
        <v>26.017731469286989</v>
      </c>
      <c r="I22" s="71">
        <f t="shared" si="18"/>
        <v>54.492163066159769</v>
      </c>
      <c r="J22" s="71">
        <f t="shared" si="18"/>
        <v>44.940903996569446</v>
      </c>
      <c r="K22" s="71">
        <f t="shared" si="18"/>
        <v>80.129108913111509</v>
      </c>
    </row>
    <row r="23" spans="1:11" s="43" customFormat="1" ht="13.2" x14ac:dyDescent="0.25">
      <c r="A23" s="152">
        <f t="shared" si="11"/>
        <v>0.17112797905922528</v>
      </c>
      <c r="B23" s="152">
        <f t="shared" si="12"/>
        <v>0.48882806232093606</v>
      </c>
      <c r="C23" s="156">
        <f t="shared" si="14"/>
        <v>0.32314057379757827</v>
      </c>
      <c r="D23" s="156">
        <f t="shared" si="15"/>
        <v>0.31614306844234141</v>
      </c>
      <c r="E23" s="47" t="s">
        <v>295</v>
      </c>
      <c r="F23" s="71">
        <f>F27/F31</f>
        <v>0.48882806232093606</v>
      </c>
      <c r="G23" s="71">
        <f t="shared" ref="G23:K23" si="19">G27/G31</f>
        <v>0.40445303156316004</v>
      </c>
      <c r="H23" s="71">
        <f t="shared" si="19"/>
        <v>0.34212303422050611</v>
      </c>
      <c r="I23" s="71">
        <f t="shared" si="19"/>
        <v>0.29016310266417666</v>
      </c>
      <c r="J23" s="71">
        <f t="shared" si="19"/>
        <v>0.24214823295746549</v>
      </c>
      <c r="K23" s="71">
        <f t="shared" si="19"/>
        <v>0.17112797905922528</v>
      </c>
    </row>
    <row r="24" spans="1:11" s="43" customFormat="1" ht="13.2" x14ac:dyDescent="0.25">
      <c r="A24" s="152">
        <f t="shared" si="11"/>
        <v>0.25159367508029445</v>
      </c>
      <c r="B24" s="152">
        <f t="shared" si="12"/>
        <v>0.75951525237568474</v>
      </c>
      <c r="C24" s="156">
        <f t="shared" si="14"/>
        <v>0.48527004411032953</v>
      </c>
      <c r="D24" s="156">
        <f t="shared" si="15"/>
        <v>0.47054330508971964</v>
      </c>
      <c r="E24" s="121" t="s">
        <v>369</v>
      </c>
      <c r="F24" s="71">
        <f>F27/F32</f>
        <v>0.75951525237568474</v>
      </c>
      <c r="G24" s="71">
        <f t="shared" ref="G24:K24" si="20">G27/G32</f>
        <v>0.60858623494139397</v>
      </c>
      <c r="H24" s="71">
        <f t="shared" si="20"/>
        <v>0.50222068345501425</v>
      </c>
      <c r="I24" s="71">
        <f t="shared" si="20"/>
        <v>0.43886592672442498</v>
      </c>
      <c r="J24" s="71">
        <f t="shared" si="20"/>
        <v>0.3508384920851651</v>
      </c>
      <c r="K24" s="71">
        <f t="shared" si="20"/>
        <v>0.25159367508029445</v>
      </c>
    </row>
    <row r="25" spans="1:11" s="43" customFormat="1" ht="13.8" thickBot="1" x14ac:dyDescent="0.3">
      <c r="A25" s="152">
        <f t="shared" si="11"/>
        <v>0.53506921942613528</v>
      </c>
      <c r="B25" s="152">
        <f t="shared" si="12"/>
        <v>1.3715919436265525</v>
      </c>
      <c r="C25" s="156">
        <f t="shared" si="14"/>
        <v>0.97061227716363652</v>
      </c>
      <c r="D25" s="156">
        <f t="shared" si="15"/>
        <v>0.9647924325953865</v>
      </c>
      <c r="E25" s="49" t="s">
        <v>296</v>
      </c>
      <c r="F25" s="73">
        <f>F27/F33</f>
        <v>1.3715919436265525</v>
      </c>
      <c r="G25" s="73">
        <f t="shared" ref="G25:K25" si="21">G27/G33</f>
        <v>1.2058035812703161</v>
      </c>
      <c r="H25" s="73">
        <f t="shared" si="21"/>
        <v>1.0732279011807666</v>
      </c>
      <c r="I25" s="73">
        <f t="shared" si="21"/>
        <v>0.85635696401000649</v>
      </c>
      <c r="J25" s="73">
        <f t="shared" si="21"/>
        <v>0.78162405346804231</v>
      </c>
      <c r="K25" s="73">
        <f t="shared" si="21"/>
        <v>0.53506921942613528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6104440.5300000003</v>
      </c>
      <c r="G27" s="76">
        <f t="shared" ref="G27:K27" si="22">G93+G86</f>
        <v>4989379.34</v>
      </c>
      <c r="H27" s="76">
        <f t="shared" si="22"/>
        <v>4141555.83</v>
      </c>
      <c r="I27" s="76">
        <f t="shared" si="22"/>
        <v>3660874.34</v>
      </c>
      <c r="J27" s="76">
        <f t="shared" si="22"/>
        <v>3016315.65</v>
      </c>
      <c r="K27" s="76">
        <f t="shared" si="22"/>
        <v>2044029.29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477171.93</v>
      </c>
      <c r="G28" s="76">
        <f t="shared" ref="G28:K28" si="23">G116</f>
        <v>426023.08</v>
      </c>
      <c r="H28" s="76">
        <f t="shared" si="23"/>
        <v>349763.06</v>
      </c>
      <c r="I28" s="76">
        <f t="shared" si="23"/>
        <v>596337.72</v>
      </c>
      <c r="J28" s="76">
        <f t="shared" si="23"/>
        <v>472181.98</v>
      </c>
      <c r="K28" s="76">
        <f t="shared" si="23"/>
        <v>490761.75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97893.5</v>
      </c>
      <c r="G30" s="76">
        <f t="shared" ref="G30:K30" si="25">G130</f>
        <v>93702.31</v>
      </c>
      <c r="H30" s="76">
        <f t="shared" si="25"/>
        <v>54546.93</v>
      </c>
      <c r="I30" s="76">
        <f t="shared" si="25"/>
        <v>49792.62</v>
      </c>
      <c r="J30" s="76">
        <f t="shared" si="25"/>
        <v>100795.81</v>
      </c>
      <c r="K30" s="76">
        <f t="shared" si="25"/>
        <v>42032.31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12487909.35</v>
      </c>
      <c r="G31" s="76">
        <f t="shared" ref="G31:K31" si="26">G120</f>
        <v>12336115.57</v>
      </c>
      <c r="H31" s="76">
        <f t="shared" si="26"/>
        <v>12105457.439999999</v>
      </c>
      <c r="I31" s="76">
        <f t="shared" si="26"/>
        <v>12616608.75</v>
      </c>
      <c r="J31" s="76">
        <f t="shared" si="26"/>
        <v>12456484.25</v>
      </c>
      <c r="K31" s="76">
        <f t="shared" si="26"/>
        <v>11944448.25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8037284.9800000004</v>
      </c>
      <c r="G32" s="76">
        <f t="shared" ref="G32:K32" si="27">G108</f>
        <v>8198311.1900000004</v>
      </c>
      <c r="H32" s="76">
        <f t="shared" si="27"/>
        <v>8246485.9900000002</v>
      </c>
      <c r="I32" s="76">
        <f t="shared" si="27"/>
        <v>8341669.0999999996</v>
      </c>
      <c r="J32" s="76">
        <f t="shared" si="27"/>
        <v>8597447.8800000008</v>
      </c>
      <c r="K32" s="76">
        <f t="shared" si="27"/>
        <v>8124327.0099999998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4450624.37</v>
      </c>
      <c r="G33" s="76">
        <f t="shared" ref="G33:K33" si="28">G114</f>
        <v>4137804.38</v>
      </c>
      <c r="H33" s="76">
        <f t="shared" si="28"/>
        <v>3858971.45</v>
      </c>
      <c r="I33" s="76">
        <f t="shared" si="28"/>
        <v>4274939.6500000004</v>
      </c>
      <c r="J33" s="76">
        <f t="shared" si="28"/>
        <v>3859036.37</v>
      </c>
      <c r="K33" s="76">
        <f t="shared" si="28"/>
        <v>3820121.24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3.5189829718589136E-3</v>
      </c>
      <c r="B37" s="139">
        <f t="shared" ref="B37:B41" si="30">MAX(F37:K37)</f>
        <v>8.0918345800501459E-3</v>
      </c>
      <c r="C37" s="160">
        <f t="shared" ref="C37:C41" si="31">AVERAGE(F37:K37)</f>
        <v>5.9163704047514492E-3</v>
      </c>
      <c r="D37" s="160">
        <f t="shared" ref="D37:D41" si="32">MEDIAN(F37:K37)</f>
        <v>6.0508747550745284E-3</v>
      </c>
      <c r="E37" s="47" t="s">
        <v>370</v>
      </c>
      <c r="F37" s="119">
        <f>F43/F44*100%</f>
        <v>7.8390623487349393E-3</v>
      </c>
      <c r="G37" s="119">
        <f t="shared" ref="G37:K37" si="33">G43/G44*100%</f>
        <v>7.5957710892295086E-3</v>
      </c>
      <c r="H37" s="119">
        <f t="shared" si="33"/>
        <v>4.5059784209195491E-3</v>
      </c>
      <c r="I37" s="119">
        <f t="shared" si="33"/>
        <v>3.9465930177156362E-3</v>
      </c>
      <c r="J37" s="119">
        <f t="shared" si="33"/>
        <v>8.0918345800501459E-3</v>
      </c>
      <c r="K37" s="119">
        <f t="shared" si="33"/>
        <v>3.5189829718589136E-3</v>
      </c>
    </row>
    <row r="38" spans="1:11" s="43" customFormat="1" ht="13.2" x14ac:dyDescent="0.25">
      <c r="A38" s="139">
        <f t="shared" si="29"/>
        <v>3.5305595507637341E-3</v>
      </c>
      <c r="B38" s="139">
        <f t="shared" si="30"/>
        <v>8.3071984091807761E-3</v>
      </c>
      <c r="C38" s="155">
        <f t="shared" si="31"/>
        <v>6.0399017967636805E-3</v>
      </c>
      <c r="D38" s="156">
        <f t="shared" si="32"/>
        <v>6.1407879838583619E-3</v>
      </c>
      <c r="E38" s="50" t="s">
        <v>298</v>
      </c>
      <c r="F38" s="122">
        <f>F43/F45</f>
        <v>8.3071984091807761E-3</v>
      </c>
      <c r="G38" s="122">
        <f t="shared" ref="G38:K38" si="34">G43/G45</f>
        <v>7.7552018024836271E-3</v>
      </c>
      <c r="H38" s="122">
        <f t="shared" si="34"/>
        <v>4.5263741652330968E-3</v>
      </c>
      <c r="I38" s="122">
        <f t="shared" si="34"/>
        <v>3.9622303282637432E-3</v>
      </c>
      <c r="J38" s="122">
        <f t="shared" si="34"/>
        <v>8.1578465246571075E-3</v>
      </c>
      <c r="K38" s="122">
        <f t="shared" si="34"/>
        <v>3.5305595507637341E-3</v>
      </c>
    </row>
    <row r="39" spans="1:11" s="43" customFormat="1" ht="13.2" x14ac:dyDescent="0.25">
      <c r="A39" s="139">
        <f t="shared" si="29"/>
        <v>1.0032897513279826</v>
      </c>
      <c r="B39" s="139">
        <f t="shared" si="30"/>
        <v>1.0597183744203009</v>
      </c>
      <c r="C39" s="155">
        <f t="shared" si="31"/>
        <v>1.0167739969078633</v>
      </c>
      <c r="D39" s="156">
        <f t="shared" si="32"/>
        <v>1.0063421103449453</v>
      </c>
      <c r="E39" s="50" t="s">
        <v>299</v>
      </c>
      <c r="F39" s="122">
        <f>F44/F45</f>
        <v>1.0597183744203009</v>
      </c>
      <c r="G39" s="122">
        <f t="shared" ref="G39:K39" si="35">G44/G45</f>
        <v>1.0209894046807422</v>
      </c>
      <c r="H39" s="122">
        <f t="shared" si="35"/>
        <v>1.004526374165233</v>
      </c>
      <c r="I39" s="122">
        <f t="shared" si="35"/>
        <v>1.0039622303282636</v>
      </c>
      <c r="J39" s="122">
        <f t="shared" si="35"/>
        <v>1.0081578465246572</v>
      </c>
      <c r="K39" s="122">
        <f t="shared" si="35"/>
        <v>1.0032897513279826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-1573.2840394485258</v>
      </c>
      <c r="B41" s="139">
        <f t="shared" si="30"/>
        <v>632.47552597681408</v>
      </c>
      <c r="C41" s="155">
        <f t="shared" si="31"/>
        <v>-176.95258712422773</v>
      </c>
      <c r="D41" s="156">
        <f t="shared" si="32"/>
        <v>409.95075209902848</v>
      </c>
      <c r="E41" s="51" t="s">
        <v>300</v>
      </c>
      <c r="F41" s="123">
        <f>(F47+F48)/F48</f>
        <v>632.47552597681408</v>
      </c>
      <c r="G41" s="123">
        <f t="shared" ref="G41:H41" si="37">(G47+G48)/G48</f>
        <v>409.95075209902848</v>
      </c>
      <c r="H41" s="123">
        <f t="shared" si="37"/>
        <v>-1573.2840394485258</v>
      </c>
      <c r="I41" s="171"/>
      <c r="J41" s="171"/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97893.5</v>
      </c>
      <c r="G43" s="76">
        <f t="shared" ref="G43:K43" si="38">G129+G130</f>
        <v>93702.31</v>
      </c>
      <c r="H43" s="76">
        <f t="shared" si="38"/>
        <v>54546.93</v>
      </c>
      <c r="I43" s="76">
        <f t="shared" si="38"/>
        <v>49792.62</v>
      </c>
      <c r="J43" s="76">
        <f t="shared" si="38"/>
        <v>100795.81</v>
      </c>
      <c r="K43" s="76">
        <f t="shared" si="38"/>
        <v>42032.31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12487909.35</v>
      </c>
      <c r="G44" s="76">
        <f t="shared" ref="G44:K44" si="39">G120</f>
        <v>12336115.57</v>
      </c>
      <c r="H44" s="76">
        <f t="shared" si="39"/>
        <v>12105457.439999999</v>
      </c>
      <c r="I44" s="76">
        <f t="shared" si="39"/>
        <v>12616608.75</v>
      </c>
      <c r="J44" s="76">
        <f t="shared" si="39"/>
        <v>12456484.25</v>
      </c>
      <c r="K44" s="76">
        <f t="shared" si="39"/>
        <v>11944448.25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11784177.43</v>
      </c>
      <c r="G45" s="76">
        <f t="shared" ref="G45:K45" si="40">G122</f>
        <v>12082510.859999999</v>
      </c>
      <c r="H45" s="76">
        <f t="shared" si="40"/>
        <v>12050910.51</v>
      </c>
      <c r="I45" s="76">
        <f t="shared" si="40"/>
        <v>12566816.130000001</v>
      </c>
      <c r="J45" s="76">
        <f t="shared" si="40"/>
        <v>12355688.439999999</v>
      </c>
      <c r="K45" s="76">
        <f t="shared" si="40"/>
        <v>11905282.83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205898.91</v>
      </c>
      <c r="G47" s="76">
        <f t="shared" ref="G47:K47" si="42">G102</f>
        <v>322441.31</v>
      </c>
      <c r="H47" s="76">
        <f t="shared" si="42"/>
        <v>-312873.21000000002</v>
      </c>
      <c r="I47" s="76">
        <f t="shared" si="42"/>
        <v>557466.80000000005</v>
      </c>
      <c r="J47" s="76">
        <f t="shared" si="42"/>
        <v>20123.009999999998</v>
      </c>
      <c r="K47" s="76">
        <f t="shared" si="42"/>
        <v>608053.82999999996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326.06</v>
      </c>
      <c r="G48" s="76">
        <f t="shared" ref="G48:K48" si="43">G101</f>
        <v>788.46</v>
      </c>
      <c r="H48" s="76">
        <f t="shared" si="43"/>
        <v>198.74</v>
      </c>
      <c r="I48" s="76">
        <f t="shared" si="43"/>
        <v>0</v>
      </c>
      <c r="J48" s="76">
        <f t="shared" si="43"/>
        <v>0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-5.6338838284832743E-2</v>
      </c>
      <c r="B52" s="139">
        <f t="shared" ref="B52:B63" si="45">MAX(F52:K52)</f>
        <v>0.20922784460421831</v>
      </c>
      <c r="C52" s="160">
        <f t="shared" ref="C52:C63" si="46">AVERAGE(F52:K52)</f>
        <v>4.9397022370612394E-2</v>
      </c>
      <c r="D52" s="160">
        <f t="shared" ref="D52:D63" si="47">MEDIAN(F52:K52)</f>
        <v>2.2674969973337719E-2</v>
      </c>
      <c r="E52" s="50" t="s">
        <v>350</v>
      </c>
      <c r="F52" s="119">
        <f t="shared" ref="F52:K52" si="48">(F65/(F70+F71))*100%</f>
        <v>1.0685160733842198E-2</v>
      </c>
      <c r="G52" s="119">
        <f t="shared" si="48"/>
        <v>3.4664779212833237E-2</v>
      </c>
      <c r="H52" s="119">
        <f t="shared" si="48"/>
        <v>-5.6338838284832743E-2</v>
      </c>
      <c r="I52" s="119">
        <f t="shared" si="48"/>
        <v>9.9691956935426082E-2</v>
      </c>
      <c r="J52" s="119">
        <f t="shared" si="48"/>
        <v>-1.5487689778126978E-3</v>
      </c>
      <c r="K52" s="120">
        <f t="shared" si="48"/>
        <v>0.20922784460421831</v>
      </c>
    </row>
    <row r="53" spans="1:11" s="43" customFormat="1" ht="13.2" x14ac:dyDescent="0.25">
      <c r="A53" s="139">
        <f t="shared" si="44"/>
        <v>1.3868513949948065E-2</v>
      </c>
      <c r="B53" s="139">
        <f t="shared" si="45"/>
        <v>0.10514923016231481</v>
      </c>
      <c r="C53" s="160">
        <f t="shared" si="46"/>
        <v>4.132109865046088E-2</v>
      </c>
      <c r="D53" s="160">
        <f t="shared" si="47"/>
        <v>2.6455452619497485E-2</v>
      </c>
      <c r="E53" s="50" t="s">
        <v>351</v>
      </c>
      <c r="F53" s="119">
        <f>(F66/F70)*100%</f>
        <v>3.1171598557861009E-2</v>
      </c>
      <c r="G53" s="119">
        <f t="shared" ref="G53:K53" si="49">(G66/G70)*100%</f>
        <v>1.3868513949948065E-2</v>
      </c>
      <c r="H53" s="119">
        <f t="shared" si="49"/>
        <v>2.1739306681133962E-2</v>
      </c>
      <c r="I53" s="119">
        <f t="shared" si="49"/>
        <v>0.10514923016231481</v>
      </c>
      <c r="J53" s="119">
        <f t="shared" si="49"/>
        <v>2.0623239925669831E-2</v>
      </c>
      <c r="K53" s="120">
        <f t="shared" si="49"/>
        <v>5.5374702625837616E-2</v>
      </c>
    </row>
    <row r="54" spans="1:11" s="43" customFormat="1" ht="13.2" x14ac:dyDescent="0.25">
      <c r="A54" s="139">
        <f t="shared" si="44"/>
        <v>-3.9517848592493889E-2</v>
      </c>
      <c r="B54" s="139">
        <f t="shared" si="45"/>
        <v>4.555116175807309E-2</v>
      </c>
      <c r="C54" s="160">
        <f t="shared" si="46"/>
        <v>3.4184972946033833E-3</v>
      </c>
      <c r="D54" s="160">
        <f t="shared" si="47"/>
        <v>3.8593013232280345E-3</v>
      </c>
      <c r="E54" s="50" t="s">
        <v>342</v>
      </c>
      <c r="F54" s="119">
        <f>(F67/SUM(F72:F74))*100%</f>
        <v>-8.1575671049350495E-3</v>
      </c>
      <c r="G54" s="119">
        <f t="shared" ref="G54:K54" si="50">(G67/SUM(G72:G74))*100%</f>
        <v>1.491663506052008E-2</v>
      </c>
      <c r="H54" s="119">
        <f t="shared" si="50"/>
        <v>-3.9517848592493889E-2</v>
      </c>
      <c r="I54" s="119">
        <f t="shared" si="50"/>
        <v>1.351348765191774E-2</v>
      </c>
      <c r="J54" s="119">
        <f t="shared" si="50"/>
        <v>-5.7948850054616698E-3</v>
      </c>
      <c r="K54" s="120">
        <f t="shared" si="50"/>
        <v>4.555116175807309E-2</v>
      </c>
    </row>
    <row r="55" spans="1:11" s="43" customFormat="1" ht="13.2" x14ac:dyDescent="0.25">
      <c r="A55" s="139">
        <f t="shared" si="44"/>
        <v>-3.8594323087721656E-2</v>
      </c>
      <c r="B55" s="139">
        <f t="shared" si="45"/>
        <v>4.7934517768271769E-2</v>
      </c>
      <c r="C55" s="160">
        <f t="shared" si="46"/>
        <v>7.267502935766724E-3</v>
      </c>
      <c r="D55" s="160">
        <f t="shared" si="47"/>
        <v>1.2286497297346195E-2</v>
      </c>
      <c r="E55" s="50" t="s">
        <v>343</v>
      </c>
      <c r="F55" s="119">
        <f>((F72-F76)/F76)*100%</f>
        <v>1.0737498710643004E-2</v>
      </c>
      <c r="G55" s="119">
        <f t="shared" ref="G55:K56" si="51">((G72-G76)/G76)*100%</f>
        <v>1.5589156318278913E-2</v>
      </c>
      <c r="H55" s="119">
        <f t="shared" si="51"/>
        <v>-3.8594323087721656E-2</v>
      </c>
      <c r="I55" s="119">
        <f t="shared" si="51"/>
        <v>1.3835495884049386E-2</v>
      </c>
      <c r="J55" s="119">
        <f t="shared" si="51"/>
        <v>-5.8973279789210718E-3</v>
      </c>
      <c r="K55" s="120">
        <f t="shared" si="51"/>
        <v>4.7934517768271769E-2</v>
      </c>
    </row>
    <row r="56" spans="1:11" s="43" customFormat="1" ht="13.2" x14ac:dyDescent="0.25">
      <c r="A56" s="139">
        <f t="shared" si="44"/>
        <v>-0.40310721259185894</v>
      </c>
      <c r="B56" s="139">
        <f t="shared" si="45"/>
        <v>0</v>
      </c>
      <c r="C56" s="160">
        <f t="shared" si="46"/>
        <v>-6.7399686628175248E-2</v>
      </c>
      <c r="D56" s="160">
        <f t="shared" si="47"/>
        <v>0</v>
      </c>
      <c r="E56" s="50" t="s">
        <v>344</v>
      </c>
      <c r="F56" s="119">
        <f>((F73-F77)/F77)*100%</f>
        <v>-0.40310721259185894</v>
      </c>
      <c r="G56" s="119">
        <f t="shared" si="51"/>
        <v>-1.2909071771925679E-3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-1.9987034848171964E-2</v>
      </c>
      <c r="B58" s="139">
        <f t="shared" si="45"/>
        <v>4.6557638019998911E-2</v>
      </c>
      <c r="C58" s="155">
        <f t="shared" si="46"/>
        <v>1.586975520339046E-2</v>
      </c>
      <c r="D58" s="156">
        <f t="shared" si="47"/>
        <v>1.4445532927483162E-2</v>
      </c>
      <c r="E58" s="50" t="s">
        <v>356</v>
      </c>
      <c r="F58" s="71">
        <f>F68/(F70+F71+F72+F73+F74+F75)</f>
        <v>1.0429723502883639E-2</v>
      </c>
      <c r="G58" s="71">
        <f t="shared" ref="G58:K58" si="52">G68/(G70+G71+G72+G73+G74)</f>
        <v>1.8461342352082685E-2</v>
      </c>
      <c r="H58" s="71">
        <f t="shared" si="52"/>
        <v>-1.9987034848171964E-2</v>
      </c>
      <c r="I58" s="71">
        <f t="shared" si="52"/>
        <v>3.8358238007446546E-2</v>
      </c>
      <c r="J58" s="71">
        <f t="shared" si="52"/>
        <v>1.3986241861029336E-3</v>
      </c>
      <c r="K58" s="72">
        <f t="shared" si="52"/>
        <v>4.6557638019998911E-2</v>
      </c>
    </row>
    <row r="59" spans="1:11" s="43" customFormat="1" ht="13.2" x14ac:dyDescent="0.25">
      <c r="A59" s="139">
        <f t="shared" si="44"/>
        <v>-1.9989462283097201E-2</v>
      </c>
      <c r="B59" s="139">
        <f t="shared" si="45"/>
        <v>4.6456236432355566E-2</v>
      </c>
      <c r="C59" s="155">
        <f t="shared" si="46"/>
        <v>1.5834279825419639E-2</v>
      </c>
      <c r="D59" s="156">
        <f t="shared" si="47"/>
        <v>1.4410509544742722E-2</v>
      </c>
      <c r="E59" s="50" t="s">
        <v>361</v>
      </c>
      <c r="F59" s="71">
        <f>F69/(F70+F71+F72+F73+F74+F75)</f>
        <v>1.0426582918714551E-2</v>
      </c>
      <c r="G59" s="71">
        <f t="shared" ref="G59:K59" si="53">G69/(G70+G71+G72+G73+G74+G75)</f>
        <v>1.8394436170770891E-2</v>
      </c>
      <c r="H59" s="71">
        <f t="shared" si="53"/>
        <v>-1.9989462283097201E-2</v>
      </c>
      <c r="I59" s="71">
        <f t="shared" si="53"/>
        <v>3.8321753030052044E-2</v>
      </c>
      <c r="J59" s="71">
        <f t="shared" si="53"/>
        <v>1.396132683721992E-3</v>
      </c>
      <c r="K59" s="72">
        <f t="shared" si="53"/>
        <v>4.6456236432355566E-2</v>
      </c>
    </row>
    <row r="60" spans="1:11" s="43" customFormat="1" ht="26.4" x14ac:dyDescent="0.25">
      <c r="A60" s="139">
        <f t="shared" si="44"/>
        <v>-2.5829221369762626E-2</v>
      </c>
      <c r="B60" s="139">
        <f t="shared" si="45"/>
        <v>4.8520182587755784E-2</v>
      </c>
      <c r="C60" s="160">
        <f t="shared" si="46"/>
        <v>1.4567728757684853E-2</v>
      </c>
      <c r="D60" s="160">
        <f t="shared" si="47"/>
        <v>1.2632056782246631E-2</v>
      </c>
      <c r="E60" s="50" t="s">
        <v>372</v>
      </c>
      <c r="F60" s="119">
        <f>F65/F79*100%</f>
        <v>6.7998523708053668E-3</v>
      </c>
      <c r="G60" s="119">
        <f t="shared" ref="G60:K60" si="54">G65/G79*100%</f>
        <v>1.8464261193687895E-2</v>
      </c>
      <c r="H60" s="119">
        <f t="shared" si="54"/>
        <v>-2.5829221369762626E-2</v>
      </c>
      <c r="I60" s="119">
        <f t="shared" si="54"/>
        <v>3.9897084864425232E-2</v>
      </c>
      <c r="J60" s="119">
        <f t="shared" si="54"/>
        <v>-4.4578710080253982E-4</v>
      </c>
      <c r="K60" s="120">
        <f t="shared" si="54"/>
        <v>4.8520182587755784E-2</v>
      </c>
    </row>
    <row r="61" spans="1:11" s="43" customFormat="1" ht="13.2" x14ac:dyDescent="0.25">
      <c r="A61" s="139">
        <f t="shared" si="44"/>
        <v>-2.5848772055986017E-2</v>
      </c>
      <c r="B61" s="139">
        <f t="shared" si="45"/>
        <v>5.0906816059921395E-2</v>
      </c>
      <c r="C61" s="155">
        <f t="shared" si="46"/>
        <v>1.8911232120065107E-2</v>
      </c>
      <c r="D61" s="156">
        <f t="shared" si="47"/>
        <v>2.1304365054836363E-2</v>
      </c>
      <c r="E61" s="50" t="s">
        <v>373</v>
      </c>
      <c r="F61" s="71">
        <f>F69/F79</f>
        <v>1.6482895914038648E-2</v>
      </c>
      <c r="G61" s="71">
        <f t="shared" ref="G61:K61" si="55">G69/G79</f>
        <v>2.6125834195634079E-2</v>
      </c>
      <c r="H61" s="71">
        <f t="shared" si="55"/>
        <v>-2.5848772055986017E-2</v>
      </c>
      <c r="I61" s="71">
        <f t="shared" si="55"/>
        <v>4.4185153954306465E-2</v>
      </c>
      <c r="J61" s="71">
        <f t="shared" si="55"/>
        <v>1.6154646524760786E-3</v>
      </c>
      <c r="K61" s="72">
        <f t="shared" si="55"/>
        <v>5.0906816059921395E-2</v>
      </c>
    </row>
    <row r="62" spans="1:11" s="43" customFormat="1" ht="13.2" x14ac:dyDescent="0.25">
      <c r="A62" s="139">
        <f t="shared" si="44"/>
        <v>4.6169268735623764E-3</v>
      </c>
      <c r="B62" s="139">
        <f t="shared" si="45"/>
        <v>2.9856772480684014E-2</v>
      </c>
      <c r="C62" s="155">
        <f t="shared" si="46"/>
        <v>1.2306180568347752E-2</v>
      </c>
      <c r="D62" s="156">
        <f t="shared" si="47"/>
        <v>8.247397817754477E-3</v>
      </c>
      <c r="E62" s="50" t="s">
        <v>374</v>
      </c>
      <c r="F62" s="71">
        <f>F69/F80</f>
        <v>1.7467227663764056E-2</v>
      </c>
      <c r="G62" s="71">
        <f>G66/G80</f>
        <v>5.4013607565671163E-3</v>
      </c>
      <c r="H62" s="71">
        <f>H66/H80</f>
        <v>7.187045321441027E-3</v>
      </c>
      <c r="I62" s="71">
        <f>I66/I80</f>
        <v>2.9856772480684014E-2</v>
      </c>
      <c r="J62" s="71">
        <f>J66/J80</f>
        <v>4.6169268735623764E-3</v>
      </c>
      <c r="K62" s="72">
        <f>K66/K80</f>
        <v>9.3077503140679262E-3</v>
      </c>
    </row>
    <row r="63" spans="1:11" s="43" customFormat="1" ht="13.8" thickBot="1" x14ac:dyDescent="0.3">
      <c r="A63" s="139">
        <f t="shared" si="44"/>
        <v>-2.5946134090078808E-2</v>
      </c>
      <c r="B63" s="139">
        <f t="shared" si="45"/>
        <v>4.8679801922857806E-2</v>
      </c>
      <c r="C63" s="155">
        <f t="shared" si="46"/>
        <v>1.473285898633514E-2</v>
      </c>
      <c r="D63" s="156">
        <f t="shared" si="47"/>
        <v>1.3028871772350511E-2</v>
      </c>
      <c r="E63" s="51" t="s">
        <v>302</v>
      </c>
      <c r="F63" s="73">
        <f t="shared" ref="F63:K63" si="56">F65/(F80+F81)</f>
        <v>7.2059285006878925E-3</v>
      </c>
      <c r="G63" s="73">
        <f t="shared" si="56"/>
        <v>1.8851815044013131E-2</v>
      </c>
      <c r="H63" s="73">
        <f t="shared" si="56"/>
        <v>-2.5946134090078808E-2</v>
      </c>
      <c r="I63" s="73">
        <f t="shared" si="56"/>
        <v>4.0055166304084372E-2</v>
      </c>
      <c r="J63" s="73">
        <f t="shared" si="56"/>
        <v>-4.4942376355355882E-4</v>
      </c>
      <c r="K63" s="74">
        <f t="shared" si="56"/>
        <v>4.8679801922857806E-2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84915.94</v>
      </c>
      <c r="G65" s="76">
        <f t="shared" ref="G65:K65" si="57">G97</f>
        <v>227777.26</v>
      </c>
      <c r="H65" s="76">
        <f t="shared" si="57"/>
        <v>-312674.53999999998</v>
      </c>
      <c r="I65" s="76">
        <f t="shared" si="57"/>
        <v>503365.91</v>
      </c>
      <c r="J65" s="76">
        <f t="shared" si="57"/>
        <v>-5552.94</v>
      </c>
      <c r="K65" s="76">
        <f t="shared" si="57"/>
        <v>579546.81000000006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180305.52</v>
      </c>
      <c r="G66" s="76">
        <f t="shared" ref="G66:K66" si="58">G95</f>
        <v>65262</v>
      </c>
      <c r="H66" s="76">
        <f t="shared" si="58"/>
        <v>86610.44</v>
      </c>
      <c r="I66" s="76">
        <f t="shared" si="58"/>
        <v>375204.57</v>
      </c>
      <c r="J66" s="76">
        <f t="shared" si="58"/>
        <v>57045.31</v>
      </c>
      <c r="K66" s="76">
        <f t="shared" si="58"/>
        <v>110811.4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-95389.58</v>
      </c>
      <c r="G67" s="76">
        <f t="shared" ref="G67:K67" si="59">G92</f>
        <v>162515.26</v>
      </c>
      <c r="H67" s="76">
        <f t="shared" si="59"/>
        <v>-399284.98</v>
      </c>
      <c r="I67" s="76">
        <f t="shared" si="59"/>
        <v>128161.34</v>
      </c>
      <c r="J67" s="76">
        <f t="shared" si="59"/>
        <v>-62598.25</v>
      </c>
      <c r="K67" s="76">
        <f t="shared" si="59"/>
        <v>468735.41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205898.91</v>
      </c>
      <c r="G68" s="76">
        <f t="shared" ref="G68:K68" si="60">G102</f>
        <v>322441.31</v>
      </c>
      <c r="H68" s="76">
        <f t="shared" si="60"/>
        <v>-312873.21000000002</v>
      </c>
      <c r="I68" s="76">
        <f t="shared" si="60"/>
        <v>557466.80000000005</v>
      </c>
      <c r="J68" s="76">
        <f t="shared" si="60"/>
        <v>20123.009999999998</v>
      </c>
      <c r="K68" s="76">
        <f t="shared" si="60"/>
        <v>608053.82999999996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205836.91</v>
      </c>
      <c r="G69" s="76">
        <f t="shared" ref="G69:K69" si="61">G104</f>
        <v>322291.31</v>
      </c>
      <c r="H69" s="76">
        <f t="shared" si="61"/>
        <v>-312911.21000000002</v>
      </c>
      <c r="I69" s="76">
        <f t="shared" si="61"/>
        <v>557466.80000000005</v>
      </c>
      <c r="J69" s="76">
        <f t="shared" si="61"/>
        <v>20123.009999999998</v>
      </c>
      <c r="K69" s="76">
        <f t="shared" si="61"/>
        <v>608053.82999999996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5784288.5300000003</v>
      </c>
      <c r="G70" s="76">
        <f t="shared" ref="G70:K70" si="62">G93</f>
        <v>4705767.34</v>
      </c>
      <c r="H70" s="76">
        <f t="shared" si="62"/>
        <v>3984047.94</v>
      </c>
      <c r="I70" s="76">
        <f t="shared" si="62"/>
        <v>3568305.44</v>
      </c>
      <c r="J70" s="76">
        <f t="shared" si="62"/>
        <v>2766069.26</v>
      </c>
      <c r="K70" s="76">
        <f t="shared" si="62"/>
        <v>2001119.55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2162802.0299999998</v>
      </c>
      <c r="G71" s="76">
        <f t="shared" ref="G71:K71" si="63">G98</f>
        <v>1865088.3</v>
      </c>
      <c r="H71" s="76">
        <f t="shared" si="63"/>
        <v>1565845.34</v>
      </c>
      <c r="I71" s="76">
        <f t="shared" si="63"/>
        <v>1480907.41</v>
      </c>
      <c r="J71" s="76">
        <f t="shared" si="63"/>
        <v>819320.22</v>
      </c>
      <c r="K71" s="76">
        <f t="shared" si="63"/>
        <v>768812.01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11373233.880000001</v>
      </c>
      <c r="G72" s="76">
        <f t="shared" ref="G72:K74" si="64">G85</f>
        <v>10611288.85</v>
      </c>
      <c r="H72" s="76">
        <f t="shared" si="64"/>
        <v>9946407.0299999993</v>
      </c>
      <c r="I72" s="76">
        <f t="shared" si="64"/>
        <v>9391388.4100000001</v>
      </c>
      <c r="J72" s="76">
        <f t="shared" si="64"/>
        <v>10552081.859999999</v>
      </c>
      <c r="K72" s="76">
        <f t="shared" si="64"/>
        <v>10247396.630000001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320152</v>
      </c>
      <c r="G73" s="76">
        <f t="shared" si="64"/>
        <v>283612</v>
      </c>
      <c r="H73" s="76">
        <f t="shared" si="64"/>
        <v>157507.89000000001</v>
      </c>
      <c r="I73" s="76">
        <f t="shared" si="64"/>
        <v>92568.9</v>
      </c>
      <c r="J73" s="76">
        <f t="shared" si="64"/>
        <v>250246.39</v>
      </c>
      <c r="K73" s="76">
        <f t="shared" si="64"/>
        <v>42909.74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76">
        <f>F100</f>
        <v>101073.75</v>
      </c>
      <c r="G75" s="76">
        <f t="shared" ref="G75:K75" si="65">G100</f>
        <v>55373.65</v>
      </c>
      <c r="H75" s="76">
        <f t="shared" si="65"/>
        <v>7.0000000000000007E-2</v>
      </c>
      <c r="I75" s="76">
        <f t="shared" si="65"/>
        <v>13836.59</v>
      </c>
      <c r="J75" s="76">
        <f t="shared" si="65"/>
        <v>25675.95</v>
      </c>
      <c r="K75" s="76">
        <f t="shared" si="65"/>
        <v>28507.02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11252411.130000001</v>
      </c>
      <c r="G76" s="76">
        <f t="shared" ref="G76:K78" si="66">G89</f>
        <v>10448407</v>
      </c>
      <c r="H76" s="76">
        <f t="shared" si="66"/>
        <v>10345692.01</v>
      </c>
      <c r="I76" s="76">
        <f t="shared" si="66"/>
        <v>9263227.0700000003</v>
      </c>
      <c r="J76" s="76">
        <f t="shared" si="66"/>
        <v>10614680.109999999</v>
      </c>
      <c r="K76" s="76">
        <f t="shared" si="66"/>
        <v>9778661.2200000007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536364.32999999996</v>
      </c>
      <c r="G77" s="76">
        <f t="shared" si="66"/>
        <v>283978.59000000003</v>
      </c>
      <c r="H77" s="76">
        <f t="shared" si="66"/>
        <v>157507.89000000001</v>
      </c>
      <c r="I77" s="76">
        <f t="shared" si="66"/>
        <v>92568.9</v>
      </c>
      <c r="J77" s="76">
        <f t="shared" si="66"/>
        <v>250246.39</v>
      </c>
      <c r="K77" s="76">
        <f t="shared" si="66"/>
        <v>42909.74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12487909.35</v>
      </c>
      <c r="G79" s="76">
        <f t="shared" ref="G79:K79" si="67">G120</f>
        <v>12336115.57</v>
      </c>
      <c r="H79" s="76">
        <f t="shared" si="67"/>
        <v>12105457.439999999</v>
      </c>
      <c r="I79" s="76">
        <f t="shared" si="67"/>
        <v>12616608.75</v>
      </c>
      <c r="J79" s="76">
        <f t="shared" si="67"/>
        <v>12456484.25</v>
      </c>
      <c r="K79" s="76">
        <f t="shared" si="67"/>
        <v>11944448.25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11784177.43</v>
      </c>
      <c r="G80" s="76">
        <f t="shared" ref="G80:K80" si="68">G122</f>
        <v>12082510.859999999</v>
      </c>
      <c r="H80" s="76">
        <f t="shared" si="68"/>
        <v>12050910.51</v>
      </c>
      <c r="I80" s="76">
        <f t="shared" si="68"/>
        <v>12566816.130000001</v>
      </c>
      <c r="J80" s="76">
        <f t="shared" si="68"/>
        <v>12355688.439999999</v>
      </c>
      <c r="K80" s="76">
        <f t="shared" si="68"/>
        <v>11905282.83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33">
        <v>11693385.880000001</v>
      </c>
      <c r="G84" s="33">
        <v>10894900.85</v>
      </c>
      <c r="H84" s="33">
        <v>10103914.92</v>
      </c>
      <c r="I84" s="33">
        <v>9483957.3100000005</v>
      </c>
      <c r="J84" s="33">
        <v>10802328.25</v>
      </c>
      <c r="K84" s="33">
        <v>10290306.369999999</v>
      </c>
    </row>
    <row r="85" spans="3:11" x14ac:dyDescent="0.3">
      <c r="E85" s="11" t="s">
        <v>3</v>
      </c>
      <c r="F85" s="34">
        <v>11373233.880000001</v>
      </c>
      <c r="G85" s="34">
        <v>10611288.85</v>
      </c>
      <c r="H85" s="34">
        <v>9946407.0299999993</v>
      </c>
      <c r="I85" s="34">
        <v>9391388.4100000001</v>
      </c>
      <c r="J85" s="34">
        <v>10552081.859999999</v>
      </c>
      <c r="K85" s="34">
        <v>10247396.630000001</v>
      </c>
    </row>
    <row r="86" spans="3:11" x14ac:dyDescent="0.3">
      <c r="E86" s="11" t="s">
        <v>4</v>
      </c>
      <c r="F86" s="34">
        <v>320152</v>
      </c>
      <c r="G86" s="34">
        <v>283612</v>
      </c>
      <c r="H86" s="34">
        <v>157507.89000000001</v>
      </c>
      <c r="I86" s="34">
        <v>92568.9</v>
      </c>
      <c r="J86" s="34">
        <v>250246.39</v>
      </c>
      <c r="K86" s="34">
        <v>42909.74</v>
      </c>
    </row>
    <row r="87" spans="3:11" x14ac:dyDescent="0.3">
      <c r="E87" s="11" t="s">
        <v>5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3:11" x14ac:dyDescent="0.3">
      <c r="E88" s="11" t="s">
        <v>6</v>
      </c>
      <c r="F88" s="33">
        <v>11788775.460000001</v>
      </c>
      <c r="G88" s="33">
        <v>10732385.59</v>
      </c>
      <c r="H88" s="33">
        <v>10503199.9</v>
      </c>
      <c r="I88" s="33">
        <v>9355795.9700000007</v>
      </c>
      <c r="J88" s="33">
        <v>10864926.5</v>
      </c>
      <c r="K88" s="33">
        <v>9821570.9600000009</v>
      </c>
    </row>
    <row r="89" spans="3:11" x14ac:dyDescent="0.3">
      <c r="E89" s="11" t="s">
        <v>7</v>
      </c>
      <c r="F89" s="34">
        <v>11252411.130000001</v>
      </c>
      <c r="G89" s="34">
        <v>10448407</v>
      </c>
      <c r="H89" s="34">
        <v>10345692.01</v>
      </c>
      <c r="I89" s="34">
        <v>9263227.0700000003</v>
      </c>
      <c r="J89" s="34">
        <v>10614680.109999999</v>
      </c>
      <c r="K89" s="34">
        <v>9778661.2200000007</v>
      </c>
    </row>
    <row r="90" spans="3:11" x14ac:dyDescent="0.3">
      <c r="E90" s="11" t="s">
        <v>8</v>
      </c>
      <c r="F90" s="34">
        <v>536364.32999999996</v>
      </c>
      <c r="G90" s="34">
        <v>283978.59000000003</v>
      </c>
      <c r="H90" s="34">
        <v>157507.89000000001</v>
      </c>
      <c r="I90" s="34">
        <v>92568.9</v>
      </c>
      <c r="J90" s="34">
        <v>250246.39</v>
      </c>
      <c r="K90" s="34">
        <v>42909.74</v>
      </c>
    </row>
    <row r="91" spans="3:11" x14ac:dyDescent="0.3">
      <c r="E91" s="11" t="s">
        <v>9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3:11" x14ac:dyDescent="0.3">
      <c r="E92" s="11" t="s">
        <v>10</v>
      </c>
      <c r="F92" s="33">
        <v>-95389.58</v>
      </c>
      <c r="G92" s="33">
        <v>162515.26</v>
      </c>
      <c r="H92" s="33">
        <v>-399284.98</v>
      </c>
      <c r="I92" s="33">
        <v>128161.34</v>
      </c>
      <c r="J92" s="33">
        <v>-62598.25</v>
      </c>
      <c r="K92" s="33">
        <v>468735.41</v>
      </c>
    </row>
    <row r="93" spans="3:11" x14ac:dyDescent="0.3">
      <c r="E93" s="11" t="s">
        <v>11</v>
      </c>
      <c r="F93" s="33">
        <v>5784288.5300000003</v>
      </c>
      <c r="G93" s="33">
        <v>4705767.34</v>
      </c>
      <c r="H93" s="33">
        <v>3984047.94</v>
      </c>
      <c r="I93" s="33">
        <v>3568305.44</v>
      </c>
      <c r="J93" s="33">
        <v>2766069.26</v>
      </c>
      <c r="K93" s="33">
        <v>2001119.55</v>
      </c>
    </row>
    <row r="94" spans="3:11" x14ac:dyDescent="0.3">
      <c r="E94" s="11" t="s">
        <v>12</v>
      </c>
      <c r="F94" s="33">
        <v>5603983.0099999998</v>
      </c>
      <c r="G94" s="33">
        <v>4640505.34</v>
      </c>
      <c r="H94" s="33">
        <v>3897437.5</v>
      </c>
      <c r="I94" s="33">
        <v>3193100.87</v>
      </c>
      <c r="J94" s="33">
        <v>2709023.95</v>
      </c>
      <c r="K94" s="33">
        <v>1890308.15</v>
      </c>
    </row>
    <row r="95" spans="3:11" x14ac:dyDescent="0.3">
      <c r="E95" s="11" t="s">
        <v>13</v>
      </c>
      <c r="F95" s="33">
        <v>180305.52</v>
      </c>
      <c r="G95" s="33">
        <v>65262</v>
      </c>
      <c r="H95" s="33">
        <v>86610.44</v>
      </c>
      <c r="I95" s="33">
        <v>375204.57</v>
      </c>
      <c r="J95" s="33">
        <v>57045.31</v>
      </c>
      <c r="K95" s="33">
        <v>110811.4</v>
      </c>
    </row>
    <row r="96" spans="3:11" x14ac:dyDescent="0.3">
      <c r="E96" s="11" t="s">
        <v>14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</row>
    <row r="97" spans="5:11" x14ac:dyDescent="0.3">
      <c r="E97" s="11" t="s">
        <v>15</v>
      </c>
      <c r="F97" s="33">
        <v>84915.94</v>
      </c>
      <c r="G97" s="33">
        <v>227777.26</v>
      </c>
      <c r="H97" s="33">
        <v>-312674.53999999998</v>
      </c>
      <c r="I97" s="33">
        <v>503365.91</v>
      </c>
      <c r="J97" s="33">
        <v>-5552.94</v>
      </c>
      <c r="K97" s="33">
        <v>579546.81000000006</v>
      </c>
    </row>
    <row r="98" spans="5:11" x14ac:dyDescent="0.3">
      <c r="E98" s="11" t="s">
        <v>16</v>
      </c>
      <c r="F98" s="33">
        <v>2162802.0299999998</v>
      </c>
      <c r="G98" s="33">
        <v>1865088.3</v>
      </c>
      <c r="H98" s="33">
        <v>1565845.34</v>
      </c>
      <c r="I98" s="33">
        <v>1480907.41</v>
      </c>
      <c r="J98" s="33">
        <v>819320.22</v>
      </c>
      <c r="K98" s="33">
        <v>768812.01</v>
      </c>
    </row>
    <row r="99" spans="5:11" x14ac:dyDescent="0.3">
      <c r="E99" s="11" t="s">
        <v>17</v>
      </c>
      <c r="F99" s="33">
        <v>2142566.75</v>
      </c>
      <c r="G99" s="33">
        <v>1825009.44</v>
      </c>
      <c r="H99" s="33">
        <v>1565845.34</v>
      </c>
      <c r="I99" s="33">
        <v>1440643.11</v>
      </c>
      <c r="J99" s="33">
        <v>819320.22</v>
      </c>
      <c r="K99" s="33">
        <v>768812.01</v>
      </c>
    </row>
    <row r="100" spans="5:11" x14ac:dyDescent="0.3">
      <c r="E100" s="11" t="s">
        <v>18</v>
      </c>
      <c r="F100" s="33">
        <v>101073.75</v>
      </c>
      <c r="G100" s="33">
        <v>55373.65</v>
      </c>
      <c r="H100" s="3">
        <v>7.0000000000000007E-2</v>
      </c>
      <c r="I100" s="33">
        <v>13836.59</v>
      </c>
      <c r="J100" s="33">
        <v>25675.95</v>
      </c>
      <c r="K100" s="33">
        <v>28507.02</v>
      </c>
    </row>
    <row r="101" spans="5:11" x14ac:dyDescent="0.3">
      <c r="E101" s="11" t="s">
        <v>19</v>
      </c>
      <c r="F101" s="3">
        <v>326.06</v>
      </c>
      <c r="G101" s="3">
        <v>788.46</v>
      </c>
      <c r="H101" s="3">
        <v>198.74</v>
      </c>
      <c r="I101" s="3">
        <v>0</v>
      </c>
      <c r="J101" s="3">
        <v>0</v>
      </c>
      <c r="K101" s="3">
        <v>0</v>
      </c>
    </row>
    <row r="102" spans="5:11" x14ac:dyDescent="0.3">
      <c r="E102" s="11" t="s">
        <v>20</v>
      </c>
      <c r="F102" s="33">
        <v>205898.91</v>
      </c>
      <c r="G102" s="33">
        <v>322441.31</v>
      </c>
      <c r="H102" s="33">
        <v>-312873.21000000002</v>
      </c>
      <c r="I102" s="33">
        <v>557466.80000000005</v>
      </c>
      <c r="J102" s="33">
        <v>20123.009999999998</v>
      </c>
      <c r="K102" s="33">
        <v>608053.82999999996</v>
      </c>
    </row>
    <row r="103" spans="5:11" x14ac:dyDescent="0.3">
      <c r="E103" s="11" t="s">
        <v>21</v>
      </c>
      <c r="F103" s="3">
        <v>62</v>
      </c>
      <c r="G103" s="3">
        <v>150</v>
      </c>
      <c r="H103" s="3">
        <v>38</v>
      </c>
      <c r="I103" s="3">
        <v>0</v>
      </c>
      <c r="J103" s="3">
        <v>0</v>
      </c>
      <c r="K103" s="3">
        <v>0</v>
      </c>
    </row>
    <row r="104" spans="5:11" x14ac:dyDescent="0.3">
      <c r="E104" s="11" t="s">
        <v>22</v>
      </c>
      <c r="F104" s="33">
        <v>205836.91</v>
      </c>
      <c r="G104" s="33">
        <v>322291.31</v>
      </c>
      <c r="H104" s="33">
        <v>-312911.21000000002</v>
      </c>
      <c r="I104" s="33">
        <v>557466.80000000005</v>
      </c>
      <c r="J104" s="33">
        <v>20123.009999999998</v>
      </c>
      <c r="K104" s="33">
        <v>608053.82999999996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8037284.9800000004</v>
      </c>
      <c r="G108" s="90">
        <v>8198311.1900000004</v>
      </c>
      <c r="H108" s="90">
        <v>8246485.9900000002</v>
      </c>
      <c r="I108" s="90">
        <v>8341669.0999999996</v>
      </c>
      <c r="J108" s="90">
        <v>8597447.8800000008</v>
      </c>
      <c r="K108" s="90">
        <v>8124327.0099999998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8037284.9800000004</v>
      </c>
      <c r="G110" s="90">
        <v>8198311.1900000004</v>
      </c>
      <c r="H110" s="90">
        <v>8246485.9900000002</v>
      </c>
      <c r="I110" s="90">
        <v>8341669.0999999996</v>
      </c>
      <c r="J110" s="90">
        <v>8597447.8800000008</v>
      </c>
      <c r="K110" s="90">
        <v>8124327.0099999998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4450624.37</v>
      </c>
      <c r="G114" s="90">
        <v>4137804.38</v>
      </c>
      <c r="H114" s="90">
        <v>3858971.45</v>
      </c>
      <c r="I114" s="90">
        <v>4274939.6500000004</v>
      </c>
      <c r="J114" s="90">
        <v>3859036.37</v>
      </c>
      <c r="K114" s="90">
        <v>3820121.24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477171.93</v>
      </c>
      <c r="G116" s="90">
        <v>426023.08</v>
      </c>
      <c r="H116" s="90">
        <v>349763.06</v>
      </c>
      <c r="I116" s="90">
        <v>596337.72</v>
      </c>
      <c r="J116" s="90">
        <v>472181.98</v>
      </c>
      <c r="K116" s="90">
        <v>490761.75</v>
      </c>
    </row>
    <row r="117" spans="5:11" ht="15" customHeight="1" x14ac:dyDescent="0.3">
      <c r="E117" s="8" t="s">
        <v>36</v>
      </c>
      <c r="F117" s="90">
        <v>3970752.7</v>
      </c>
      <c r="G117" s="90">
        <v>3709714.44</v>
      </c>
      <c r="H117" s="90">
        <v>3507063.65</v>
      </c>
      <c r="I117" s="90">
        <v>3674154.95</v>
      </c>
      <c r="J117" s="90">
        <v>3383864.04</v>
      </c>
      <c r="K117" s="90">
        <v>3329359.49</v>
      </c>
    </row>
    <row r="118" spans="5:11" ht="15" customHeight="1" x14ac:dyDescent="0.3">
      <c r="E118" s="8" t="s">
        <v>37</v>
      </c>
      <c r="F118" s="90">
        <v>2699.74</v>
      </c>
      <c r="G118" s="90">
        <v>2066.86</v>
      </c>
      <c r="H118" s="90">
        <v>2144.7399999999998</v>
      </c>
      <c r="I118" s="90">
        <v>4446.9799999999996</v>
      </c>
      <c r="J118" s="90">
        <v>2990.35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12487909.35</v>
      </c>
      <c r="G120" s="90">
        <v>12336115.57</v>
      </c>
      <c r="H120" s="90">
        <v>12105457.439999999</v>
      </c>
      <c r="I120" s="90">
        <v>12616608.75</v>
      </c>
      <c r="J120" s="90">
        <v>12456484.25</v>
      </c>
      <c r="K120" s="90">
        <v>11944448.25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11784177.43</v>
      </c>
      <c r="G122" s="90">
        <v>12082510.859999999</v>
      </c>
      <c r="H122" s="90">
        <v>12050910.51</v>
      </c>
      <c r="I122" s="90">
        <v>12566816.130000001</v>
      </c>
      <c r="J122" s="90">
        <v>12355688.439999999</v>
      </c>
      <c r="K122" s="90">
        <v>11905282.83</v>
      </c>
    </row>
    <row r="123" spans="5:11" x14ac:dyDescent="0.3">
      <c r="E123" s="8" t="s">
        <v>42</v>
      </c>
      <c r="F123" s="90">
        <v>11578340.52</v>
      </c>
      <c r="G123" s="90">
        <v>11760219.550000001</v>
      </c>
      <c r="H123" s="90">
        <v>12363821.720000001</v>
      </c>
      <c r="I123" s="90">
        <v>12009349.33</v>
      </c>
      <c r="J123" s="90">
        <v>12335565.43</v>
      </c>
      <c r="K123" s="90">
        <v>11297229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205836.91</v>
      </c>
      <c r="G126" s="90">
        <v>322291.31</v>
      </c>
      <c r="H126" s="90">
        <v>-312911.21000000002</v>
      </c>
      <c r="I126" s="90">
        <v>557466.80000000005</v>
      </c>
      <c r="J126" s="90">
        <v>20123.009999999998</v>
      </c>
      <c r="K126" s="90">
        <v>608053.82999999996</v>
      </c>
    </row>
    <row r="127" spans="5:11" ht="15" customHeight="1" x14ac:dyDescent="0.3">
      <c r="E127" s="18" t="s">
        <v>91</v>
      </c>
      <c r="F127" s="90">
        <v>703731.92</v>
      </c>
      <c r="G127" s="90">
        <v>253604.71</v>
      </c>
      <c r="H127" s="90">
        <v>54546.93</v>
      </c>
      <c r="I127" s="90">
        <v>49792.62</v>
      </c>
      <c r="J127" s="90">
        <v>100795.81</v>
      </c>
      <c r="K127" s="90">
        <v>42032.31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97893.5</v>
      </c>
      <c r="G130" s="90">
        <v>93702.31</v>
      </c>
      <c r="H130" s="90">
        <v>54546.93</v>
      </c>
      <c r="I130" s="90">
        <v>49792.62</v>
      </c>
      <c r="J130" s="90">
        <v>100795.81</v>
      </c>
      <c r="K130" s="90">
        <v>42032.31</v>
      </c>
    </row>
    <row r="131" spans="5:11" ht="15" customHeight="1" x14ac:dyDescent="0.3">
      <c r="E131" s="17" t="s">
        <v>88</v>
      </c>
      <c r="F131" s="90">
        <v>605838.42000000004</v>
      </c>
      <c r="G131" s="90">
        <v>159902.39999999999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3">
      <c r="E132" s="7" t="s">
        <v>47</v>
      </c>
      <c r="F132" s="90">
        <v>12487909.35</v>
      </c>
      <c r="G132" s="90">
        <v>12336115.57</v>
      </c>
      <c r="H132" s="90">
        <v>12105457.439999999</v>
      </c>
      <c r="I132" s="90">
        <v>12616608.75</v>
      </c>
      <c r="J132" s="90">
        <v>12456484.25</v>
      </c>
      <c r="K132" s="90">
        <v>11947315.140000001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F804-83D0-4FED-B711-A3EBAB9FE5BF}">
  <sheetPr>
    <tabColor theme="4" tint="0.79998168889431442"/>
  </sheetPr>
  <dimension ref="A1:K155"/>
  <sheetViews>
    <sheetView topLeftCell="A131" workbookViewId="0">
      <selection sqref="A1:L166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22" customWidth="1"/>
    <col min="6" max="11" width="18.33203125" style="28" customWidth="1"/>
    <col min="12" max="12" width="6.88671875" style="22" customWidth="1"/>
    <col min="13" max="16384" width="9.109375" style="22"/>
  </cols>
  <sheetData>
    <row r="1" spans="1:11" ht="14.4" x14ac:dyDescent="0.3">
      <c r="E1" s="186" t="s">
        <v>398</v>
      </c>
      <c r="F1" s="188"/>
      <c r="G1" s="188"/>
      <c r="H1" s="188"/>
      <c r="I1" s="188"/>
      <c r="J1" s="188"/>
      <c r="K1" s="188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5">
      <c r="A4" s="139">
        <f>MIN(F4:K4)</f>
        <v>0.38705721302559531</v>
      </c>
      <c r="B4" s="139">
        <f>MAX(F4:K4)</f>
        <v>0.65156175363883317</v>
      </c>
      <c r="C4" s="155">
        <f>AVERAGE(F4:K4)</f>
        <v>0.52092066566944906</v>
      </c>
      <c r="D4" s="156">
        <f>MEDIAN(F4:K4)</f>
        <v>0.50008644036515082</v>
      </c>
      <c r="E4" s="47" t="s">
        <v>364</v>
      </c>
      <c r="F4" s="71">
        <f>SUM(F9:F12)/SUM(F13:F15)</f>
        <v>0.63291940377482048</v>
      </c>
      <c r="G4" s="71">
        <f t="shared" ref="G4:K4" si="0">SUM(G9:G12)/SUM(G13:G15)</f>
        <v>0.65156175363883317</v>
      </c>
      <c r="H4" s="71">
        <f t="shared" si="0"/>
        <v>0.54157057547815057</v>
      </c>
      <c r="I4" s="71">
        <f t="shared" si="0"/>
        <v>0.45381274284714329</v>
      </c>
      <c r="J4" s="71">
        <f t="shared" si="0"/>
        <v>0.45860230525215112</v>
      </c>
      <c r="K4" s="71">
        <f t="shared" si="0"/>
        <v>0.38705721302559531</v>
      </c>
    </row>
    <row r="5" spans="1:11" s="43" customFormat="1" x14ac:dyDescent="0.25">
      <c r="A5" s="139">
        <f t="shared" ref="A5:A7" si="1">MIN(F5:K5)</f>
        <v>1.6909894817429971</v>
      </c>
      <c r="B5" s="139">
        <f t="shared" ref="B5:B7" si="2">MAX(F5:K5)</f>
        <v>2.3122006332077514</v>
      </c>
      <c r="C5" s="155">
        <f t="shared" ref="C5:C7" si="3">AVERAGEIF(F5:K5,"&gt;0")</f>
        <v>1.9285539652406134</v>
      </c>
      <c r="D5" s="156">
        <f t="shared" ref="D5:D7" si="4">_xlfn.AGGREGATE(12,6,F5:K5)</f>
        <v>1.8175243197175117</v>
      </c>
      <c r="E5" s="47" t="s">
        <v>363</v>
      </c>
      <c r="F5" s="71">
        <f t="shared" ref="F5:K5" si="5">SUM(F9:F12)/F14</f>
        <v>2.2126815014634218</v>
      </c>
      <c r="G5" s="71">
        <f t="shared" si="5"/>
        <v>2.3122006332077514</v>
      </c>
      <c r="H5" s="71">
        <f t="shared" si="5"/>
        <v>1.7204035355944842</v>
      </c>
      <c r="I5" s="71">
        <f t="shared" si="5"/>
        <v>1.8249003765838787</v>
      </c>
      <c r="J5" s="71">
        <f t="shared" si="5"/>
        <v>1.8101482628511449</v>
      </c>
      <c r="K5" s="71">
        <f t="shared" si="5"/>
        <v>1.6909894817429971</v>
      </c>
    </row>
    <row r="6" spans="1:11" s="43" customFormat="1" x14ac:dyDescent="0.25">
      <c r="A6" s="139">
        <f t="shared" si="1"/>
        <v>1.6265037579063741</v>
      </c>
      <c r="B6" s="139">
        <f t="shared" si="2"/>
        <v>2.2822449806615315</v>
      </c>
      <c r="C6" s="155">
        <f t="shared" si="3"/>
        <v>1.8706051319378441</v>
      </c>
      <c r="D6" s="156">
        <f t="shared" si="4"/>
        <v>1.7852712392644692</v>
      </c>
      <c r="E6" s="47" t="s">
        <v>365</v>
      </c>
      <c r="F6" s="71">
        <f t="shared" ref="F6:K6" si="6">SUM(F10:F11)/F14</f>
        <v>2.1109483996917544</v>
      </c>
      <c r="G6" s="71">
        <f t="shared" si="6"/>
        <v>2.2822449806615315</v>
      </c>
      <c r="H6" s="71">
        <f t="shared" si="6"/>
        <v>1.6333911748384662</v>
      </c>
      <c r="I6" s="71">
        <f t="shared" si="6"/>
        <v>1.8010122841475247</v>
      </c>
      <c r="J6" s="71">
        <f t="shared" si="6"/>
        <v>1.7695301943814137</v>
      </c>
      <c r="K6" s="71">
        <f t="shared" si="6"/>
        <v>1.6265037579063741</v>
      </c>
    </row>
    <row r="7" spans="1:11" s="43" customFormat="1" ht="13.8" thickBot="1" x14ac:dyDescent="0.3">
      <c r="A7" s="139">
        <f t="shared" si="1"/>
        <v>1.4481424506398</v>
      </c>
      <c r="B7" s="139">
        <f t="shared" si="2"/>
        <v>2.0354349001478247</v>
      </c>
      <c r="C7" s="155">
        <f t="shared" si="3"/>
        <v>1.6776135260618028</v>
      </c>
      <c r="D7" s="156">
        <f t="shared" si="4"/>
        <v>1.5858304887472747</v>
      </c>
      <c r="E7" s="49" t="s">
        <v>366</v>
      </c>
      <c r="F7" s="73">
        <f t="shared" ref="F7:K7" si="7">F11/F14</f>
        <v>1.8961371209038462</v>
      </c>
      <c r="G7" s="73">
        <f t="shared" si="7"/>
        <v>2.0354349001478247</v>
      </c>
      <c r="H7" s="73">
        <f t="shared" si="7"/>
        <v>1.4481424506398</v>
      </c>
      <c r="I7" s="73">
        <f t="shared" si="7"/>
        <v>1.6347768863939058</v>
      </c>
      <c r="J7" s="73">
        <f t="shared" si="7"/>
        <v>1.5143057071847963</v>
      </c>
      <c r="K7" s="73">
        <f t="shared" si="7"/>
        <v>1.5368840911006438</v>
      </c>
    </row>
    <row r="8" spans="1:11" s="43" customFormat="1" x14ac:dyDescent="0.25">
      <c r="C8" s="79"/>
      <c r="D8" s="79"/>
    </row>
    <row r="9" spans="1:11" s="43" customFormat="1" x14ac:dyDescent="0.25">
      <c r="C9" s="79"/>
      <c r="D9" s="79"/>
      <c r="E9" s="43" t="s">
        <v>289</v>
      </c>
      <c r="F9" s="76">
        <f>F93</f>
        <v>62539.22</v>
      </c>
      <c r="G9" s="76">
        <f t="shared" ref="G9:K9" si="8">G93</f>
        <v>15085.86</v>
      </c>
      <c r="H9" s="76">
        <f t="shared" si="8"/>
        <v>18023.740000000002</v>
      </c>
      <c r="I9" s="76">
        <f t="shared" si="8"/>
        <v>13929.42</v>
      </c>
      <c r="J9" s="76">
        <f t="shared" si="8"/>
        <v>20239.93</v>
      </c>
      <c r="K9" s="76">
        <f t="shared" si="8"/>
        <v>21811.46</v>
      </c>
    </row>
    <row r="10" spans="1:11" s="43" customFormat="1" x14ac:dyDescent="0.25">
      <c r="C10" s="79"/>
      <c r="D10" s="79"/>
      <c r="E10" s="43" t="s">
        <v>288</v>
      </c>
      <c r="F10" s="76">
        <f>F94</f>
        <v>147719.88</v>
      </c>
      <c r="G10" s="76">
        <f t="shared" ref="G10:K10" si="9">G94</f>
        <v>165465.19</v>
      </c>
      <c r="H10" s="76">
        <f t="shared" si="9"/>
        <v>128317.06</v>
      </c>
      <c r="I10" s="76">
        <f t="shared" si="9"/>
        <v>103475.15</v>
      </c>
      <c r="J10" s="76">
        <f t="shared" si="9"/>
        <v>151091.85</v>
      </c>
      <c r="K10" s="76">
        <f t="shared" si="9"/>
        <v>43691.63</v>
      </c>
    </row>
    <row r="11" spans="1:11" s="43" customFormat="1" x14ac:dyDescent="0.25">
      <c r="C11" s="79"/>
      <c r="D11" s="79"/>
      <c r="E11" s="43" t="s">
        <v>287</v>
      </c>
      <c r="F11" s="76">
        <f>F95</f>
        <v>1303921.98</v>
      </c>
      <c r="G11" s="76">
        <f t="shared" ref="G11:K11" si="10">G95</f>
        <v>1364586.17</v>
      </c>
      <c r="H11" s="76">
        <f t="shared" si="10"/>
        <v>1003091.29</v>
      </c>
      <c r="I11" s="76">
        <f t="shared" si="10"/>
        <v>1017585.82</v>
      </c>
      <c r="J11" s="76">
        <f t="shared" si="10"/>
        <v>896462.77</v>
      </c>
      <c r="K11" s="76">
        <f t="shared" si="10"/>
        <v>749266.02</v>
      </c>
    </row>
    <row r="12" spans="1:11" s="43" customFormat="1" x14ac:dyDescent="0.25">
      <c r="C12" s="79"/>
      <c r="D12" s="79"/>
      <c r="E12" s="43" t="s">
        <v>290</v>
      </c>
      <c r="F12" s="76">
        <f>F96</f>
        <v>7419.87</v>
      </c>
      <c r="G12" s="76">
        <f t="shared" ref="G12:K12" si="11">G96</f>
        <v>4996.8599999999997</v>
      </c>
      <c r="H12" s="76">
        <f t="shared" si="11"/>
        <v>42247.5</v>
      </c>
      <c r="I12" s="76">
        <f t="shared" si="11"/>
        <v>940</v>
      </c>
      <c r="J12" s="76">
        <f t="shared" si="11"/>
        <v>3805.8</v>
      </c>
      <c r="K12" s="76">
        <f t="shared" si="11"/>
        <v>9626.7999999999993</v>
      </c>
    </row>
    <row r="13" spans="1:11" s="43" customFormat="1" x14ac:dyDescent="0.25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5">
      <c r="C14" s="79"/>
      <c r="D14" s="79"/>
      <c r="E14" s="43" t="s">
        <v>286</v>
      </c>
      <c r="F14" s="76">
        <f>F108</f>
        <v>687672.83</v>
      </c>
      <c r="G14" s="76">
        <f t="shared" ref="G14:K14" si="13">G108</f>
        <v>670415.04</v>
      </c>
      <c r="H14" s="76">
        <f t="shared" si="13"/>
        <v>692674.46</v>
      </c>
      <c r="I14" s="76">
        <f t="shared" si="13"/>
        <v>622461.59</v>
      </c>
      <c r="J14" s="76">
        <f t="shared" si="13"/>
        <v>591995.9</v>
      </c>
      <c r="K14" s="76">
        <f t="shared" si="13"/>
        <v>487522.79</v>
      </c>
    </row>
    <row r="15" spans="1:11" s="43" customFormat="1" x14ac:dyDescent="0.25">
      <c r="C15" s="79"/>
      <c r="D15" s="79"/>
      <c r="E15" s="43" t="s">
        <v>362</v>
      </c>
      <c r="F15" s="76">
        <f>F109</f>
        <v>1716426.24</v>
      </c>
      <c r="G15" s="76">
        <f t="shared" ref="G15:K15" si="14">G109</f>
        <v>1708690.35</v>
      </c>
      <c r="H15" s="76">
        <f t="shared" si="14"/>
        <v>1507739.75</v>
      </c>
      <c r="I15" s="76">
        <f t="shared" si="14"/>
        <v>1880620.15</v>
      </c>
      <c r="J15" s="76">
        <f t="shared" si="14"/>
        <v>1744669.96</v>
      </c>
      <c r="K15" s="76">
        <f t="shared" si="14"/>
        <v>1642384.32</v>
      </c>
    </row>
    <row r="16" spans="1:11" s="43" customFormat="1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x14ac:dyDescent="0.25">
      <c r="A19" s="152">
        <f t="shared" ref="A19:A25" si="15">MIN(F19:K19)</f>
        <v>9.8911041034625136</v>
      </c>
      <c r="B19" s="152">
        <f t="shared" ref="B19:B25" si="16">MAX(F19:K19)</f>
        <v>37.841268581657602</v>
      </c>
      <c r="C19" s="156">
        <f>AVERAGE(F19:K19)</f>
        <v>23.495748087568117</v>
      </c>
      <c r="D19" s="156">
        <f>MEDIAN(F19:K19)</f>
        <v>24.303694524522239</v>
      </c>
      <c r="E19" s="47" t="s">
        <v>293</v>
      </c>
      <c r="F19" s="71">
        <f>F28/(F27/365)</f>
        <v>16.820502112882746</v>
      </c>
      <c r="G19" s="71">
        <f t="shared" ref="G19:K19" si="17">G28/(G27/365)</f>
        <v>23.450232769639637</v>
      </c>
      <c r="H19" s="71">
        <f t="shared" si="17"/>
        <v>25.157156279404841</v>
      </c>
      <c r="I19" s="71">
        <f t="shared" si="17"/>
        <v>27.814224678361366</v>
      </c>
      <c r="J19" s="71">
        <f t="shared" si="17"/>
        <v>37.841268581657602</v>
      </c>
      <c r="K19" s="71">
        <f t="shared" si="17"/>
        <v>9.8911041034625136</v>
      </c>
    </row>
    <row r="20" spans="1:11" s="43" customFormat="1" x14ac:dyDescent="0.25">
      <c r="A20" s="152">
        <f t="shared" si="15"/>
        <v>2.1380142163448146</v>
      </c>
      <c r="B20" s="152">
        <f t="shared" si="16"/>
        <v>7.1211883068686408</v>
      </c>
      <c r="C20" s="156">
        <f t="shared" ref="C20:C25" si="18">AVERAGE(F20:K20)</f>
        <v>4.4239983250927279</v>
      </c>
      <c r="D20" s="156">
        <f t="shared" ref="D20:D25" si="19">MEDIAN(F20:K20)</f>
        <v>4.3410083797320276</v>
      </c>
      <c r="E20" s="121" t="s">
        <v>367</v>
      </c>
      <c r="F20" s="71">
        <f>F29/(F27/365)</f>
        <v>7.1211883068686408</v>
      </c>
      <c r="G20" s="71">
        <f t="shared" ref="G20:K20" si="20">G29/(G27/365)</f>
        <v>2.1380142163448146</v>
      </c>
      <c r="H20" s="71">
        <f t="shared" si="20"/>
        <v>3.5336380362779529</v>
      </c>
      <c r="I20" s="71">
        <f t="shared" si="20"/>
        <v>3.7442421443144598</v>
      </c>
      <c r="J20" s="71">
        <f t="shared" si="20"/>
        <v>5.0691326316009047</v>
      </c>
      <c r="K20" s="71">
        <f t="shared" si="20"/>
        <v>4.9377746151495945</v>
      </c>
    </row>
    <row r="21" spans="1:11" s="43" customFormat="1" x14ac:dyDescent="0.25">
      <c r="A21" s="152">
        <f t="shared" si="15"/>
        <v>78.303626363540616</v>
      </c>
      <c r="B21" s="152">
        <f t="shared" si="16"/>
        <v>167.31830316660623</v>
      </c>
      <c r="C21" s="156">
        <f t="shared" si="18"/>
        <v>122.51190269383113</v>
      </c>
      <c r="D21" s="156">
        <f t="shared" si="19"/>
        <v>123.08480522566538</v>
      </c>
      <c r="E21" s="47" t="s">
        <v>368</v>
      </c>
      <c r="F21" s="71">
        <f>F30/(F27/365)</f>
        <v>78.303626363540616</v>
      </c>
      <c r="G21" s="71">
        <f t="shared" ref="G21:K21" si="21">G30/(G27/365)</f>
        <v>95.013269801746631</v>
      </c>
      <c r="H21" s="71">
        <f t="shared" si="21"/>
        <v>135.80204877646321</v>
      </c>
      <c r="I21" s="71">
        <f t="shared" si="21"/>
        <v>167.31830316660623</v>
      </c>
      <c r="J21" s="71">
        <f t="shared" si="21"/>
        <v>148.26660637976249</v>
      </c>
      <c r="K21" s="71">
        <f t="shared" si="21"/>
        <v>110.36756167486756</v>
      </c>
    </row>
    <row r="22" spans="1:11" s="43" customFormat="1" x14ac:dyDescent="0.25">
      <c r="A22" s="152">
        <f t="shared" si="15"/>
        <v>-135.7598363439304</v>
      </c>
      <c r="B22" s="152">
        <f t="shared" si="16"/>
        <v>-54.361935943789227</v>
      </c>
      <c r="C22" s="156">
        <f t="shared" si="18"/>
        <v>-94.592156281170276</v>
      </c>
      <c r="D22" s="156">
        <f t="shared" si="19"/>
        <v>-100.44744406137971</v>
      </c>
      <c r="E22" s="47" t="s">
        <v>294</v>
      </c>
      <c r="F22" s="71">
        <f>F19+F20-F21</f>
        <v>-54.361935943789227</v>
      </c>
      <c r="G22" s="71">
        <f t="shared" ref="G22:K22" si="22">G19+G20-G21</f>
        <v>-69.425022815762176</v>
      </c>
      <c r="H22" s="71">
        <f t="shared" si="22"/>
        <v>-107.11125446078042</v>
      </c>
      <c r="I22" s="71">
        <f t="shared" si="22"/>
        <v>-135.7598363439304</v>
      </c>
      <c r="J22" s="71">
        <f t="shared" si="22"/>
        <v>-105.35620516650398</v>
      </c>
      <c r="K22" s="71">
        <f t="shared" si="22"/>
        <v>-95.538682956255457</v>
      </c>
    </row>
    <row r="23" spans="1:11" s="43" customFormat="1" x14ac:dyDescent="0.25">
      <c r="A23" s="152">
        <f t="shared" si="15"/>
        <v>0.27868396007778579</v>
      </c>
      <c r="B23" s="152">
        <f t="shared" si="16"/>
        <v>0.6599270467196251</v>
      </c>
      <c r="C23" s="156">
        <f t="shared" si="18"/>
        <v>0.42888904410110795</v>
      </c>
      <c r="D23" s="156">
        <f t="shared" si="19"/>
        <v>0.38911186489529453</v>
      </c>
      <c r="E23" s="47" t="s">
        <v>295</v>
      </c>
      <c r="F23" s="71">
        <f>F27/F31</f>
        <v>0.6599270467196251</v>
      </c>
      <c r="G23" s="71">
        <f t="shared" ref="G23:K23" si="23">G27/G31</f>
        <v>0.5339702132060643</v>
      </c>
      <c r="H23" s="71">
        <f t="shared" si="23"/>
        <v>0.40792162162305473</v>
      </c>
      <c r="I23" s="71">
        <f t="shared" si="23"/>
        <v>0.27868396007778579</v>
      </c>
      <c r="J23" s="71">
        <f t="shared" si="23"/>
        <v>0.32252931481258368</v>
      </c>
      <c r="K23" s="71">
        <f t="shared" si="23"/>
        <v>0.37030210816753434</v>
      </c>
    </row>
    <row r="24" spans="1:11" s="43" customFormat="1" x14ac:dyDescent="0.25">
      <c r="A24" s="152">
        <f t="shared" si="15"/>
        <v>0.36340534126832036</v>
      </c>
      <c r="B24" s="152">
        <f t="shared" si="16"/>
        <v>0.96095506968611022</v>
      </c>
      <c r="C24" s="156">
        <f t="shared" si="18"/>
        <v>0.59048047625320121</v>
      </c>
      <c r="D24" s="156">
        <f t="shared" si="19"/>
        <v>0.50443195345077851</v>
      </c>
      <c r="E24" s="121" t="s">
        <v>369</v>
      </c>
      <c r="F24" s="71">
        <f>F27/F32</f>
        <v>0.96095506968611022</v>
      </c>
      <c r="G24" s="71">
        <f t="shared" ref="G24:K24" si="24">G27/G32</f>
        <v>0.78686010724548572</v>
      </c>
      <c r="H24" s="71">
        <f t="shared" si="24"/>
        <v>0.55207219935574248</v>
      </c>
      <c r="I24" s="71">
        <f t="shared" si="24"/>
        <v>0.36340534126832036</v>
      </c>
      <c r="J24" s="71">
        <f t="shared" si="24"/>
        <v>0.42279843241773368</v>
      </c>
      <c r="K24" s="71">
        <f t="shared" si="24"/>
        <v>0.45679170754581461</v>
      </c>
    </row>
    <row r="25" spans="1:11" s="43" customFormat="1" ht="13.8" thickBot="1" x14ac:dyDescent="0.3">
      <c r="A25" s="152">
        <f t="shared" si="15"/>
        <v>1.195391744031076</v>
      </c>
      <c r="B25" s="152">
        <f t="shared" si="16"/>
        <v>2.1066485270004596</v>
      </c>
      <c r="C25" s="156">
        <f t="shared" si="18"/>
        <v>1.6402451428999074</v>
      </c>
      <c r="D25" s="156">
        <f t="shared" si="19"/>
        <v>1.6118522033241947</v>
      </c>
      <c r="E25" s="49" t="s">
        <v>296</v>
      </c>
      <c r="F25" s="73">
        <f>F27/F33</f>
        <v>2.1066485270004596</v>
      </c>
      <c r="G25" s="73">
        <f t="shared" ref="G25:K25" si="25">G27/G33</f>
        <v>1.6614339644735765</v>
      </c>
      <c r="H25" s="73">
        <f t="shared" si="25"/>
        <v>1.562270442174813</v>
      </c>
      <c r="I25" s="73">
        <f t="shared" si="25"/>
        <v>1.195391744031076</v>
      </c>
      <c r="J25" s="73">
        <f t="shared" si="25"/>
        <v>1.3599889175101521</v>
      </c>
      <c r="K25" s="73">
        <f t="shared" si="25"/>
        <v>1.9557372622093674</v>
      </c>
    </row>
    <row r="26" spans="1:11" s="43" customFormat="1" x14ac:dyDescent="0.25">
      <c r="C26" s="155"/>
      <c r="D26" s="156"/>
    </row>
    <row r="27" spans="1:11" s="43" customFormat="1" x14ac:dyDescent="0.25">
      <c r="C27" s="79"/>
      <c r="D27" s="79"/>
      <c r="E27" s="43" t="s">
        <v>304</v>
      </c>
      <c r="F27" s="76">
        <f>F113+F129</f>
        <v>3205478.3999999999</v>
      </c>
      <c r="G27" s="76">
        <f t="shared" ref="G27:K27" si="26">G113+G129</f>
        <v>2575445.41</v>
      </c>
      <c r="H27" s="76">
        <f t="shared" si="26"/>
        <v>1861725.8</v>
      </c>
      <c r="I27" s="76">
        <f t="shared" si="26"/>
        <v>1357881.81</v>
      </c>
      <c r="J27" s="76">
        <f t="shared" si="26"/>
        <v>1457364.6</v>
      </c>
      <c r="K27" s="76">
        <f t="shared" si="26"/>
        <v>1612301.8</v>
      </c>
    </row>
    <row r="28" spans="1:11" s="43" customFormat="1" x14ac:dyDescent="0.25">
      <c r="C28" s="79"/>
      <c r="D28" s="79"/>
      <c r="E28" s="43" t="s">
        <v>305</v>
      </c>
      <c r="F28" s="76">
        <f>F94</f>
        <v>147719.88</v>
      </c>
      <c r="G28" s="76">
        <f t="shared" ref="G28:K28" si="27">G94</f>
        <v>165465.19</v>
      </c>
      <c r="H28" s="76">
        <f t="shared" si="27"/>
        <v>128317.06</v>
      </c>
      <c r="I28" s="76">
        <f t="shared" si="27"/>
        <v>103475.15</v>
      </c>
      <c r="J28" s="76">
        <f t="shared" si="27"/>
        <v>151091.85</v>
      </c>
      <c r="K28" s="76">
        <f t="shared" si="27"/>
        <v>43691.63</v>
      </c>
    </row>
    <row r="29" spans="1:11" s="43" customFormat="1" x14ac:dyDescent="0.25">
      <c r="C29" s="79"/>
      <c r="D29" s="79"/>
      <c r="E29" s="43" t="s">
        <v>306</v>
      </c>
      <c r="F29" s="76">
        <f>F93</f>
        <v>62539.22</v>
      </c>
      <c r="G29" s="76">
        <f t="shared" ref="G29:K29" si="28">G93</f>
        <v>15085.86</v>
      </c>
      <c r="H29" s="76">
        <f t="shared" si="28"/>
        <v>18023.740000000002</v>
      </c>
      <c r="I29" s="76">
        <f t="shared" si="28"/>
        <v>13929.42</v>
      </c>
      <c r="J29" s="76">
        <f t="shared" si="28"/>
        <v>20239.93</v>
      </c>
      <c r="K29" s="76">
        <f t="shared" si="28"/>
        <v>21811.46</v>
      </c>
    </row>
    <row r="30" spans="1:11" s="43" customFormat="1" x14ac:dyDescent="0.25">
      <c r="C30" s="79"/>
      <c r="D30" s="79"/>
      <c r="E30" s="43" t="s">
        <v>307</v>
      </c>
      <c r="F30" s="76">
        <f>F108</f>
        <v>687672.83</v>
      </c>
      <c r="G30" s="76">
        <f t="shared" ref="G30:K30" si="29">G108</f>
        <v>670415.04</v>
      </c>
      <c r="H30" s="76">
        <f t="shared" si="29"/>
        <v>692674.46</v>
      </c>
      <c r="I30" s="76">
        <f t="shared" si="29"/>
        <v>622461.59</v>
      </c>
      <c r="J30" s="76">
        <f t="shared" si="29"/>
        <v>591995.9</v>
      </c>
      <c r="K30" s="76">
        <f t="shared" si="29"/>
        <v>487522.79</v>
      </c>
    </row>
    <row r="31" spans="1:11" s="43" customFormat="1" x14ac:dyDescent="0.25">
      <c r="C31" s="79"/>
      <c r="D31" s="79"/>
      <c r="E31" s="43" t="s">
        <v>303</v>
      </c>
      <c r="F31" s="76">
        <f>F98</f>
        <v>4857322.3600000003</v>
      </c>
      <c r="G31" s="76">
        <f t="shared" ref="G31:K31" si="30">G98</f>
        <v>4823200.5199999996</v>
      </c>
      <c r="H31" s="76">
        <f t="shared" si="30"/>
        <v>4563930.18</v>
      </c>
      <c r="I31" s="76">
        <f t="shared" si="30"/>
        <v>4872479.24</v>
      </c>
      <c r="J31" s="76">
        <f t="shared" si="30"/>
        <v>4518549.2699999996</v>
      </c>
      <c r="K31" s="76">
        <f t="shared" si="30"/>
        <v>4354017.34</v>
      </c>
    </row>
    <row r="32" spans="1:11" s="43" customFormat="1" x14ac:dyDescent="0.25">
      <c r="C32" s="79"/>
      <c r="D32" s="79"/>
      <c r="E32" s="43" t="s">
        <v>308</v>
      </c>
      <c r="F32" s="76">
        <f>F86</f>
        <v>3335721.41</v>
      </c>
      <c r="G32" s="76">
        <f t="shared" ref="G32:K32" si="31">G86</f>
        <v>3273066.44</v>
      </c>
      <c r="H32" s="76">
        <f t="shared" si="31"/>
        <v>3372250.59</v>
      </c>
      <c r="I32" s="76">
        <f t="shared" si="31"/>
        <v>3736548.85</v>
      </c>
      <c r="J32" s="76">
        <f t="shared" si="31"/>
        <v>3446948.92</v>
      </c>
      <c r="K32" s="76">
        <f t="shared" si="31"/>
        <v>3529621.43</v>
      </c>
    </row>
    <row r="33" spans="1:11" s="43" customFormat="1" x14ac:dyDescent="0.25">
      <c r="C33" s="79"/>
      <c r="D33" s="79"/>
      <c r="E33" s="43" t="s">
        <v>309</v>
      </c>
      <c r="F33" s="76">
        <f>F92</f>
        <v>1521600.95</v>
      </c>
      <c r="G33" s="76">
        <f t="shared" ref="G33:K33" si="32">G92</f>
        <v>1550134.08</v>
      </c>
      <c r="H33" s="76">
        <f t="shared" si="32"/>
        <v>1191679.5900000001</v>
      </c>
      <c r="I33" s="76">
        <f t="shared" si="32"/>
        <v>1135930.3899999999</v>
      </c>
      <c r="J33" s="76">
        <f t="shared" si="32"/>
        <v>1071600.3500000001</v>
      </c>
      <c r="K33" s="76">
        <f t="shared" si="32"/>
        <v>824395.91</v>
      </c>
    </row>
    <row r="34" spans="1:11" s="43" customFormat="1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5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5">
      <c r="A37" s="139">
        <f t="shared" ref="A37:A41" si="33">MIN(F37:K37)</f>
        <v>0.11197079660688719</v>
      </c>
      <c r="B37" s="139">
        <f t="shared" ref="B37:B41" si="34">MAX(F37:K37)</f>
        <v>0.15177148481267957</v>
      </c>
      <c r="C37" s="160">
        <f t="shared" ref="C37:C41" si="35">AVERAGE(F37:K37)</f>
        <v>0.13384663188599608</v>
      </c>
      <c r="D37" s="160">
        <f t="shared" ref="D37:D41" si="36">MEDIAN(F37:K37)</f>
        <v>0.13500627794341891</v>
      </c>
      <c r="E37" s="126" t="s">
        <v>370</v>
      </c>
      <c r="F37" s="131">
        <f>F43/F44*100%</f>
        <v>0.14157446820144751</v>
      </c>
      <c r="G37" s="124">
        <f t="shared" ref="G37:K37" si="37">G43/G44*100%</f>
        <v>0.13899796146149032</v>
      </c>
      <c r="H37" s="124">
        <f t="shared" si="37"/>
        <v>0.15177148481267957</v>
      </c>
      <c r="I37" s="124">
        <f t="shared" si="37"/>
        <v>0.12775048580812423</v>
      </c>
      <c r="J37" s="124">
        <f t="shared" si="37"/>
        <v>0.13101459442534752</v>
      </c>
      <c r="K37" s="132">
        <f t="shared" si="37"/>
        <v>0.11197079660688719</v>
      </c>
    </row>
    <row r="38" spans="1:11" s="43" customFormat="1" x14ac:dyDescent="0.25">
      <c r="A38" s="139">
        <f t="shared" si="33"/>
        <v>0.21919902324265644</v>
      </c>
      <c r="B38" s="139">
        <f t="shared" si="34"/>
        <v>0.29306950695154382</v>
      </c>
      <c r="C38" s="155">
        <f t="shared" si="35"/>
        <v>0.26681909570760237</v>
      </c>
      <c r="D38" s="156">
        <f t="shared" si="36"/>
        <v>0.27281161931359421</v>
      </c>
      <c r="E38" s="127" t="s">
        <v>298</v>
      </c>
      <c r="F38" s="133">
        <f>F43/F45</f>
        <v>0.28031399864950735</v>
      </c>
      <c r="G38" s="122">
        <f t="shared" ref="G38:K38" si="38">G43/G45</f>
        <v>0.27429989601100352</v>
      </c>
      <c r="H38" s="122">
        <f t="shared" si="38"/>
        <v>0.29306950695154382</v>
      </c>
      <c r="I38" s="122">
        <f t="shared" si="38"/>
        <v>0.26270880677471803</v>
      </c>
      <c r="J38" s="122">
        <f t="shared" si="38"/>
        <v>0.27132334261618496</v>
      </c>
      <c r="K38" s="134">
        <f t="shared" si="38"/>
        <v>0.21919902324265644</v>
      </c>
    </row>
    <row r="39" spans="1:11" s="43" customFormat="1" x14ac:dyDescent="0.25">
      <c r="A39" s="139">
        <f t="shared" si="33"/>
        <v>1.9309918942498194</v>
      </c>
      <c r="B39" s="139">
        <f t="shared" si="34"/>
        <v>2.0709398354149453</v>
      </c>
      <c r="C39" s="155">
        <f t="shared" si="35"/>
        <v>1.9948971062663032</v>
      </c>
      <c r="D39" s="156">
        <f t="shared" si="36"/>
        <v>1.9766925654686904</v>
      </c>
      <c r="E39" s="127" t="s">
        <v>299</v>
      </c>
      <c r="F39" s="133">
        <f>F44/F45</f>
        <v>1.9799756425759354</v>
      </c>
      <c r="G39" s="122">
        <f t="shared" ref="G39:K39" si="39">G44/G45</f>
        <v>1.9734094883614453</v>
      </c>
      <c r="H39" s="122">
        <f t="shared" si="39"/>
        <v>1.9309918942498194</v>
      </c>
      <c r="I39" s="122">
        <f t="shared" si="39"/>
        <v>2.0564211956837131</v>
      </c>
      <c r="J39" s="122">
        <f t="shared" si="39"/>
        <v>2.0709398354149453</v>
      </c>
      <c r="K39" s="134">
        <f t="shared" si="39"/>
        <v>1.9576445813119612</v>
      </c>
    </row>
    <row r="40" spans="1:11" s="43" customFormat="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s="43" customFormat="1" ht="13.8" thickBot="1" x14ac:dyDescent="0.3">
      <c r="A41" s="139">
        <f t="shared" si="33"/>
        <v>-1271.6273364485983</v>
      </c>
      <c r="B41" s="139">
        <f t="shared" si="34"/>
        <v>321.19194035150008</v>
      </c>
      <c r="C41" s="155">
        <f t="shared" si="35"/>
        <v>-96.208037932902187</v>
      </c>
      <c r="D41" s="156">
        <f t="shared" si="36"/>
        <v>84.342846101178935</v>
      </c>
      <c r="E41" s="129" t="s">
        <v>300</v>
      </c>
      <c r="F41" s="135">
        <f>(F47+F48)/F48</f>
        <v>321.19194035150008</v>
      </c>
      <c r="G41" s="123">
        <f t="shared" ref="G41:K41" si="41">(G47+G48)/G48</f>
        <v>151.20879808285315</v>
      </c>
      <c r="H41" s="123">
        <f t="shared" si="41"/>
        <v>53.292678214474144</v>
      </c>
      <c r="I41" s="123">
        <f t="shared" si="41"/>
        <v>88.82142290399365</v>
      </c>
      <c r="J41" s="123">
        <f t="shared" si="41"/>
        <v>79.864269298364206</v>
      </c>
      <c r="K41" s="136">
        <f t="shared" si="41"/>
        <v>-1271.6273364485983</v>
      </c>
    </row>
    <row r="42" spans="1:11" s="43" customFormat="1" x14ac:dyDescent="0.25">
      <c r="C42" s="79"/>
      <c r="D42" s="79"/>
    </row>
    <row r="43" spans="1:11" s="43" customFormat="1" x14ac:dyDescent="0.25">
      <c r="C43" s="79"/>
      <c r="D43" s="79"/>
      <c r="E43" s="43" t="s">
        <v>318</v>
      </c>
      <c r="F43" s="76">
        <f>F107+F108</f>
        <v>687672.83</v>
      </c>
      <c r="G43" s="76">
        <f t="shared" ref="G43:K43" si="42">G107+G108</f>
        <v>670415.04</v>
      </c>
      <c r="H43" s="76">
        <f t="shared" si="42"/>
        <v>692674.46</v>
      </c>
      <c r="I43" s="76">
        <f t="shared" si="42"/>
        <v>622461.59</v>
      </c>
      <c r="J43" s="76">
        <f t="shared" si="42"/>
        <v>591995.9</v>
      </c>
      <c r="K43" s="76">
        <f t="shared" si="42"/>
        <v>487522.79</v>
      </c>
    </row>
    <row r="44" spans="1:11" s="43" customFormat="1" x14ac:dyDescent="0.25">
      <c r="C44" s="79"/>
      <c r="D44" s="79"/>
      <c r="E44" s="43" t="s">
        <v>303</v>
      </c>
      <c r="F44" s="76">
        <f>F98</f>
        <v>4857322.3600000003</v>
      </c>
      <c r="G44" s="76">
        <f t="shared" ref="G44:K44" si="43">G98</f>
        <v>4823200.5199999996</v>
      </c>
      <c r="H44" s="76">
        <f t="shared" si="43"/>
        <v>4563930.18</v>
      </c>
      <c r="I44" s="76">
        <f t="shared" si="43"/>
        <v>4872479.24</v>
      </c>
      <c r="J44" s="76">
        <f t="shared" si="43"/>
        <v>4518549.2699999996</v>
      </c>
      <c r="K44" s="76">
        <f t="shared" si="43"/>
        <v>4354017.34</v>
      </c>
    </row>
    <row r="45" spans="1:11" s="43" customFormat="1" x14ac:dyDescent="0.25">
      <c r="C45" s="79"/>
      <c r="D45" s="79"/>
      <c r="E45" s="43" t="s">
        <v>311</v>
      </c>
      <c r="F45" s="76">
        <f>F100</f>
        <v>2453223.29</v>
      </c>
      <c r="G45" s="76">
        <f t="shared" ref="G45:K45" si="44">G100</f>
        <v>2444095.13</v>
      </c>
      <c r="H45" s="76">
        <f t="shared" si="44"/>
        <v>2363515.9700000002</v>
      </c>
      <c r="I45" s="76">
        <f t="shared" si="44"/>
        <v>2369397.5</v>
      </c>
      <c r="J45" s="76">
        <f t="shared" si="44"/>
        <v>2181883.41</v>
      </c>
      <c r="K45" s="76">
        <f t="shared" si="44"/>
        <v>2224110.23</v>
      </c>
    </row>
    <row r="46" spans="1:11" s="43" customFormat="1" x14ac:dyDescent="0.25">
      <c r="C46" s="79"/>
      <c r="D46" s="79"/>
      <c r="E46" s="43" t="s">
        <v>312</v>
      </c>
      <c r="F46" s="76">
        <f>F107</f>
        <v>0</v>
      </c>
      <c r="G46" s="76">
        <f t="shared" ref="G46:K46" si="45">G107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s="43" customFormat="1" x14ac:dyDescent="0.25">
      <c r="C47" s="79"/>
      <c r="D47" s="79"/>
      <c r="E47" s="43" t="s">
        <v>313</v>
      </c>
      <c r="F47" s="76">
        <f>F152</f>
        <v>90182.06</v>
      </c>
      <c r="G47" s="76">
        <f t="shared" ref="G47:K47" si="46">G152</f>
        <v>170489.99</v>
      </c>
      <c r="H47" s="76">
        <f t="shared" si="46"/>
        <v>70370.78</v>
      </c>
      <c r="I47" s="76">
        <f t="shared" si="46"/>
        <v>49807.92</v>
      </c>
      <c r="J47" s="76">
        <f t="shared" si="46"/>
        <v>11667.18</v>
      </c>
      <c r="K47" s="76">
        <f t="shared" si="46"/>
        <v>-10893.69</v>
      </c>
    </row>
    <row r="48" spans="1:11" s="43" customFormat="1" x14ac:dyDescent="0.25">
      <c r="C48" s="79"/>
      <c r="D48" s="79"/>
      <c r="E48" s="43" t="s">
        <v>314</v>
      </c>
      <c r="F48" s="43">
        <f>F148</f>
        <v>281.64999999999998</v>
      </c>
      <c r="G48" s="43">
        <f t="shared" ref="G48:K48" si="47">G148</f>
        <v>1135.02</v>
      </c>
      <c r="H48" s="43">
        <f t="shared" si="47"/>
        <v>1345.71</v>
      </c>
      <c r="I48" s="43">
        <f t="shared" si="47"/>
        <v>567.15</v>
      </c>
      <c r="J48" s="43">
        <f t="shared" si="47"/>
        <v>147.94</v>
      </c>
      <c r="K48" s="43">
        <f t="shared" si="47"/>
        <v>8.56</v>
      </c>
    </row>
    <row r="49" spans="1:11" s="43" customFormat="1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5">
      <c r="C51" s="79"/>
      <c r="D51" s="79"/>
      <c r="E51" s="125" t="s">
        <v>301</v>
      </c>
      <c r="F51" s="130"/>
      <c r="G51" s="45"/>
      <c r="H51" s="45"/>
      <c r="I51" s="45"/>
      <c r="J51" s="45"/>
      <c r="K51" s="46"/>
    </row>
    <row r="52" spans="1:11" s="43" customFormat="1" x14ac:dyDescent="0.25">
      <c r="A52" s="139">
        <f t="shared" ref="A52:A63" si="48">MIN(F52:K52)</f>
        <v>-1.5063712472051518E-3</v>
      </c>
      <c r="B52" s="139">
        <f t="shared" ref="B52:B63" si="49">MAX(F52:K52)</f>
        <v>1.4537849554772785E-2</v>
      </c>
      <c r="C52" s="160">
        <f t="shared" ref="C52:C63" si="50">AVERAGE(F52:K52)</f>
        <v>5.5939845689463143E-3</v>
      </c>
      <c r="D52" s="160">
        <f t="shared" ref="D52:D63" si="51">MEDIAN(F52:K52)</f>
        <v>6.0164488571614319E-3</v>
      </c>
      <c r="E52" s="127" t="s">
        <v>350</v>
      </c>
      <c r="F52" s="131">
        <f t="shared" ref="F52:K52" si="52">(F65/(F70+F71))*100%</f>
        <v>6.775544739685376E-3</v>
      </c>
      <c r="G52" s="124">
        <f t="shared" si="52"/>
        <v>1.4537849554772785E-2</v>
      </c>
      <c r="H52" s="124">
        <f t="shared" si="52"/>
        <v>7.1507613240679056E-3</v>
      </c>
      <c r="I52" s="124">
        <f t="shared" si="52"/>
        <v>5.2573529746374878E-3</v>
      </c>
      <c r="J52" s="124">
        <f t="shared" si="52"/>
        <v>1.3487700677194837E-3</v>
      </c>
      <c r="K52" s="132">
        <f t="shared" si="52"/>
        <v>-1.5063712472051518E-3</v>
      </c>
    </row>
    <row r="53" spans="1:11" s="43" customFormat="1" x14ac:dyDescent="0.25">
      <c r="A53" s="139">
        <f t="shared" si="48"/>
        <v>-5.2501377789279022</v>
      </c>
      <c r="B53" s="139">
        <f t="shared" si="49"/>
        <v>-2.2159995240724246</v>
      </c>
      <c r="C53" s="160">
        <f t="shared" si="50"/>
        <v>-3.3346338094905765</v>
      </c>
      <c r="D53" s="160">
        <f t="shared" si="51"/>
        <v>-3.0421705461600537</v>
      </c>
      <c r="E53" s="127" t="s">
        <v>351</v>
      </c>
      <c r="F53" s="131">
        <f>(F66/F70)*100%</f>
        <v>-2.6887480633156038</v>
      </c>
      <c r="G53" s="124">
        <f t="shared" ref="G53:K53" si="53">(G66/G70)*100%</f>
        <v>-3.0225030356982017</v>
      </c>
      <c r="H53" s="124">
        <f t="shared" si="53"/>
        <v>-3.7685763983074199</v>
      </c>
      <c r="I53" s="124">
        <f t="shared" si="53"/>
        <v>-5.2501377789279022</v>
      </c>
      <c r="J53" s="124">
        <f t="shared" si="53"/>
        <v>-2.2159995240724246</v>
      </c>
      <c r="K53" s="132">
        <f t="shared" si="53"/>
        <v>-3.0618380566219052</v>
      </c>
    </row>
    <row r="54" spans="1:11" s="43" customFormat="1" x14ac:dyDescent="0.25">
      <c r="A54" s="139">
        <f t="shared" si="48"/>
        <v>-19.271915791501936</v>
      </c>
      <c r="B54" s="139">
        <f t="shared" si="49"/>
        <v>0.87438786732371199</v>
      </c>
      <c r="C54" s="160">
        <f t="shared" si="50"/>
        <v>-3.1859121775426487</v>
      </c>
      <c r="D54" s="160">
        <f t="shared" si="51"/>
        <v>0.83195117876838087</v>
      </c>
      <c r="E54" s="127" t="s">
        <v>342</v>
      </c>
      <c r="F54" s="131">
        <f>(F67/SUM(F72:F74))*100%</f>
        <v>0.87438786732371199</v>
      </c>
      <c r="G54" s="124">
        <f t="shared" ref="G54:J54" si="54">(G67/SUM(G72:G74))*100%</f>
        <v>0.87359192756266346</v>
      </c>
      <c r="H54" s="124">
        <f t="shared" si="54"/>
        <v>0.83195117876838087</v>
      </c>
      <c r="I54" s="124">
        <f t="shared" si="54"/>
        <v>0.7624239301339365</v>
      </c>
      <c r="J54" s="124">
        <f t="shared" si="54"/>
        <v>-19.271915791501936</v>
      </c>
      <c r="K54" s="170"/>
    </row>
    <row r="55" spans="1:11" s="43" customFormat="1" x14ac:dyDescent="0.25">
      <c r="A55" s="139">
        <f t="shared" si="48"/>
        <v>-0.95067067117459103</v>
      </c>
      <c r="B55" s="139">
        <f t="shared" si="49"/>
        <v>6.9610144234799076</v>
      </c>
      <c r="C55" s="160">
        <f t="shared" si="50"/>
        <v>4.2162121506014483</v>
      </c>
      <c r="D55" s="160">
        <f t="shared" si="51"/>
        <v>4.9506516777152232</v>
      </c>
      <c r="E55" s="127" t="s">
        <v>343</v>
      </c>
      <c r="F55" s="131">
        <f>((F72-F76)/F76)*100%</f>
        <v>6.9610144234799076</v>
      </c>
      <c r="G55" s="124">
        <f t="shared" ref="G55:J55" si="55">((G72-G76)/G76)*100%</f>
        <v>6.9108871824283478</v>
      </c>
      <c r="H55" s="124">
        <f t="shared" si="55"/>
        <v>4.9506516777152232</v>
      </c>
      <c r="I55" s="124">
        <f t="shared" si="55"/>
        <v>3.2091781405583593</v>
      </c>
      <c r="J55" s="124">
        <f t="shared" si="55"/>
        <v>-0.95067067117459103</v>
      </c>
      <c r="K55" s="170"/>
    </row>
    <row r="56" spans="1:11" s="43" customFormat="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s="43" customFormat="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s="43" customFormat="1" x14ac:dyDescent="0.25">
      <c r="A58" s="139">
        <f t="shared" si="48"/>
        <v>-1.5042557841606424E-3</v>
      </c>
      <c r="B58" s="139">
        <f t="shared" si="49"/>
        <v>1.1899983492532342E-2</v>
      </c>
      <c r="C58" s="155">
        <f t="shared" si="50"/>
        <v>4.5661898161752255E-3</v>
      </c>
      <c r="D58" s="156">
        <f t="shared" si="51"/>
        <v>4.9844403397995406E-3</v>
      </c>
      <c r="E58" s="127" t="s">
        <v>356</v>
      </c>
      <c r="F58" s="133">
        <f>F68/(F70+F71+F72+F73+F74+F75)</f>
        <v>5.6450482881473495E-3</v>
      </c>
      <c r="G58" s="133">
        <f t="shared" ref="G58:K58" si="56">G68/(G70+G71+G72+G73+G74)</f>
        <v>1.1899983492532342E-2</v>
      </c>
      <c r="H58" s="133">
        <f t="shared" si="56"/>
        <v>5.7243601883496505E-3</v>
      </c>
      <c r="I58" s="133">
        <f t="shared" si="56"/>
        <v>4.3238323914517309E-3</v>
      </c>
      <c r="J58" s="133">
        <f t="shared" si="56"/>
        <v>1.308170320730921E-3</v>
      </c>
      <c r="K58" s="137">
        <f t="shared" si="56"/>
        <v>-1.5042557841606424E-3</v>
      </c>
    </row>
    <row r="59" spans="1:11" s="43" customFormat="1" x14ac:dyDescent="0.25">
      <c r="A59" s="139">
        <f t="shared" si="48"/>
        <v>-1.5042508239369987E-3</v>
      </c>
      <c r="B59" s="139">
        <f t="shared" si="49"/>
        <v>1.1899977885960381E-2</v>
      </c>
      <c r="C59" s="155">
        <f t="shared" si="50"/>
        <v>4.5661862564994648E-3</v>
      </c>
      <c r="D59" s="156">
        <f t="shared" si="51"/>
        <v>4.984439467105365E-3</v>
      </c>
      <c r="E59" s="127" t="s">
        <v>361</v>
      </c>
      <c r="F59" s="133">
        <f>F69/(F70+F71+F72+F73+F74+F75)</f>
        <v>5.6450482881473495E-3</v>
      </c>
      <c r="G59" s="133">
        <f t="shared" ref="G59:K59" si="57">G69/(G70+G71+G72+G73+G74+G75)</f>
        <v>1.1899977885960381E-2</v>
      </c>
      <c r="H59" s="133">
        <f t="shared" si="57"/>
        <v>5.7243412689684655E-3</v>
      </c>
      <c r="I59" s="133">
        <f t="shared" si="57"/>
        <v>4.3238306460633797E-3</v>
      </c>
      <c r="J59" s="133">
        <f t="shared" si="57"/>
        <v>1.3081702737942106E-3</v>
      </c>
      <c r="K59" s="137">
        <f t="shared" si="57"/>
        <v>-1.5042508239369987E-3</v>
      </c>
    </row>
    <row r="60" spans="1:11" s="43" customFormat="1" ht="26.4" x14ac:dyDescent="0.25">
      <c r="A60" s="139">
        <f t="shared" si="48"/>
        <v>-2.5055044911695278E-3</v>
      </c>
      <c r="B60" s="139">
        <f t="shared" si="49"/>
        <v>3.5581821508013943E-2</v>
      </c>
      <c r="C60" s="160">
        <f t="shared" si="50"/>
        <v>1.3386904696477096E-2</v>
      </c>
      <c r="D60" s="160">
        <f t="shared" si="51"/>
        <v>1.3021296949874868E-2</v>
      </c>
      <c r="E60" s="127" t="s">
        <v>372</v>
      </c>
      <c r="F60" s="131">
        <f>F65/F79*100%</f>
        <v>1.858778423756911E-2</v>
      </c>
      <c r="G60" s="124">
        <f t="shared" ref="G60:K60" si="58">G65/G79*100%</f>
        <v>3.5581821508013943E-2</v>
      </c>
      <c r="H60" s="124">
        <f t="shared" si="58"/>
        <v>1.5704854625975019E-2</v>
      </c>
      <c r="I60" s="124">
        <f t="shared" si="58"/>
        <v>1.0337739273774718E-2</v>
      </c>
      <c r="J60" s="124">
        <f t="shared" si="58"/>
        <v>2.6147330246993191E-3</v>
      </c>
      <c r="K60" s="132">
        <f t="shared" si="58"/>
        <v>-2.5055044911695278E-3</v>
      </c>
    </row>
    <row r="61" spans="1:11" s="43" customFormat="1" x14ac:dyDescent="0.25">
      <c r="A61" s="139">
        <f t="shared" si="48"/>
        <v>-2.5019859015995563E-3</v>
      </c>
      <c r="B61" s="139">
        <f t="shared" si="49"/>
        <v>3.5347895923680157E-2</v>
      </c>
      <c r="C61" s="155">
        <f t="shared" si="50"/>
        <v>1.3272562688202654E-2</v>
      </c>
      <c r="D61" s="156">
        <f t="shared" si="51"/>
        <v>1.2820597147877567E-2</v>
      </c>
      <c r="E61" s="127" t="s">
        <v>373</v>
      </c>
      <c r="F61" s="133">
        <f>F69/F79</f>
        <v>1.8566208564341609E-2</v>
      </c>
      <c r="G61" s="133">
        <f t="shared" ref="G61:K61" si="59">G69/G79</f>
        <v>3.5347895923680157E-2</v>
      </c>
      <c r="H61" s="133">
        <f t="shared" si="59"/>
        <v>1.5418899331190032E-2</v>
      </c>
      <c r="I61" s="133">
        <f t="shared" si="59"/>
        <v>1.0222294964565103E-2</v>
      </c>
      <c r="J61" s="133">
        <f t="shared" si="59"/>
        <v>2.5820632470385792E-3</v>
      </c>
      <c r="K61" s="137">
        <f t="shared" si="59"/>
        <v>-2.5019859015995563E-3</v>
      </c>
    </row>
    <row r="62" spans="1:11" s="43" customFormat="1" x14ac:dyDescent="0.25">
      <c r="A62" s="139">
        <f t="shared" si="48"/>
        <v>-3.1849380469900126</v>
      </c>
      <c r="B62" s="139">
        <f t="shared" si="49"/>
        <v>3.6760640732381111E-2</v>
      </c>
      <c r="C62" s="155">
        <f t="shared" si="50"/>
        <v>-2.1375348815137536</v>
      </c>
      <c r="D62" s="156">
        <f t="shared" si="51"/>
        <v>-2.5940349668847098</v>
      </c>
      <c r="E62" s="127" t="s">
        <v>374</v>
      </c>
      <c r="F62" s="133">
        <f>F69/F80</f>
        <v>3.6760640732381111E-2</v>
      </c>
      <c r="G62" s="133">
        <f>G66/G80</f>
        <v>-3.1849380469900126</v>
      </c>
      <c r="H62" s="133">
        <f>H66/H80</f>
        <v>-2.9684825484805164</v>
      </c>
      <c r="I62" s="133">
        <f>I66/I80</f>
        <v>-3.0088098725519883</v>
      </c>
      <c r="J62" s="133">
        <f>J66/J80</f>
        <v>-1.4801520765034826</v>
      </c>
      <c r="K62" s="137">
        <f>K66/K80</f>
        <v>-2.2195873852889028</v>
      </c>
    </row>
    <row r="63" spans="1:11" s="43" customFormat="1" ht="13.8" thickBot="1" x14ac:dyDescent="0.3">
      <c r="A63" s="139">
        <f t="shared" si="48"/>
        <v>-4.9048872905908085E-3</v>
      </c>
      <c r="B63" s="139">
        <f t="shared" si="49"/>
        <v>7.0217504177098058E-2</v>
      </c>
      <c r="C63" s="155">
        <f t="shared" si="50"/>
        <v>2.6519270807891283E-2</v>
      </c>
      <c r="D63" s="156">
        <f t="shared" si="51"/>
        <v>2.5792346570585913E-2</v>
      </c>
      <c r="E63" s="129" t="s">
        <v>302</v>
      </c>
      <c r="F63" s="135">
        <f t="shared" ref="F63:K63" si="60">F65/(F80+F81)</f>
        <v>3.6803360039843747E-2</v>
      </c>
      <c r="G63" s="135">
        <f t="shared" si="60"/>
        <v>7.0217504177098058E-2</v>
      </c>
      <c r="H63" s="135">
        <f t="shared" si="60"/>
        <v>3.0325946983129543E-2</v>
      </c>
      <c r="I63" s="135">
        <f t="shared" si="60"/>
        <v>2.1258746158042286E-2</v>
      </c>
      <c r="J63" s="135">
        <f t="shared" si="60"/>
        <v>5.4149547798248293E-3</v>
      </c>
      <c r="K63" s="138">
        <f t="shared" si="60"/>
        <v>-4.9048872905908085E-3</v>
      </c>
    </row>
    <row r="64" spans="1:11" s="43" customFormat="1" x14ac:dyDescent="0.25">
      <c r="C64" s="79"/>
      <c r="D64" s="79"/>
    </row>
    <row r="65" spans="3:11" s="43" customFormat="1" x14ac:dyDescent="0.25">
      <c r="C65" s="79"/>
      <c r="D65" s="79"/>
      <c r="E65" s="52" t="s">
        <v>360</v>
      </c>
      <c r="F65" s="76">
        <f>F138</f>
        <v>90286.86</v>
      </c>
      <c r="G65" s="76">
        <f t="shared" ref="G65:K65" si="61">G138</f>
        <v>171618.26</v>
      </c>
      <c r="H65" s="76">
        <f t="shared" si="61"/>
        <v>71675.86</v>
      </c>
      <c r="I65" s="76">
        <f t="shared" si="61"/>
        <v>50370.42</v>
      </c>
      <c r="J65" s="76">
        <f t="shared" si="61"/>
        <v>11814.8</v>
      </c>
      <c r="K65" s="76">
        <f t="shared" si="61"/>
        <v>-10909.01</v>
      </c>
    </row>
    <row r="66" spans="3:11" s="43" customFormat="1" ht="26.4" x14ac:dyDescent="0.25">
      <c r="C66" s="79"/>
      <c r="D66" s="79"/>
      <c r="E66" s="52" t="s">
        <v>352</v>
      </c>
      <c r="F66" s="76">
        <f>F119</f>
        <v>-8618723.8399999999</v>
      </c>
      <c r="G66" s="76">
        <f t="shared" ref="G66:K66" si="62">G119</f>
        <v>-7784291.5700000003</v>
      </c>
      <c r="H66" s="76">
        <f t="shared" si="62"/>
        <v>-7016055.9100000001</v>
      </c>
      <c r="I66" s="76">
        <f t="shared" si="62"/>
        <v>-7129066.5899999999</v>
      </c>
      <c r="J66" s="76">
        <f t="shared" si="62"/>
        <v>-3229519.26</v>
      </c>
      <c r="K66" s="76">
        <f t="shared" si="62"/>
        <v>-4936607.01</v>
      </c>
    </row>
    <row r="67" spans="3:11" s="43" customFormat="1" x14ac:dyDescent="0.25">
      <c r="C67" s="79"/>
      <c r="D67" s="79"/>
      <c r="E67" s="43" t="s">
        <v>345</v>
      </c>
      <c r="F67" s="76">
        <f>F128+F129-F135-F136</f>
        <v>2316995.23</v>
      </c>
      <c r="G67" s="76">
        <f t="shared" ref="G67:K67" si="63">G128+G129-G135-G136</f>
        <v>2203183.37</v>
      </c>
      <c r="H67" s="76">
        <f t="shared" si="63"/>
        <v>1888266.8199999998</v>
      </c>
      <c r="I67" s="76">
        <f t="shared" si="63"/>
        <v>1477916.8399999999</v>
      </c>
      <c r="J67" s="76">
        <f t="shared" si="63"/>
        <v>-3064557.03</v>
      </c>
      <c r="K67" s="76">
        <f t="shared" si="63"/>
        <v>0</v>
      </c>
    </row>
    <row r="68" spans="3:11" s="43" customFormat="1" x14ac:dyDescent="0.25">
      <c r="C68" s="79"/>
      <c r="D68" s="79"/>
      <c r="E68" s="43" t="s">
        <v>341</v>
      </c>
      <c r="F68" s="76">
        <f>F152</f>
        <v>90182.06</v>
      </c>
      <c r="G68" s="76">
        <f t="shared" ref="G68:K68" si="64">G152</f>
        <v>170489.99</v>
      </c>
      <c r="H68" s="76">
        <f t="shared" si="64"/>
        <v>70370.78</v>
      </c>
      <c r="I68" s="76">
        <f t="shared" si="64"/>
        <v>49807.92</v>
      </c>
      <c r="J68" s="76">
        <f t="shared" si="64"/>
        <v>11667.18</v>
      </c>
      <c r="K68" s="76">
        <f t="shared" si="64"/>
        <v>-10893.69</v>
      </c>
    </row>
    <row r="69" spans="3:11" s="43" customFormat="1" x14ac:dyDescent="0.25">
      <c r="C69" s="79"/>
      <c r="D69" s="79"/>
      <c r="E69" s="43" t="s">
        <v>315</v>
      </c>
      <c r="F69" s="76">
        <f>F155</f>
        <v>90182.06</v>
      </c>
      <c r="G69" s="76">
        <f t="shared" ref="G69:K69" si="65">G155</f>
        <v>170489.99</v>
      </c>
      <c r="H69" s="76">
        <f t="shared" si="65"/>
        <v>70370.78</v>
      </c>
      <c r="I69" s="76">
        <f t="shared" si="65"/>
        <v>49807.92</v>
      </c>
      <c r="J69" s="76">
        <f t="shared" si="65"/>
        <v>11667.18</v>
      </c>
      <c r="K69" s="76">
        <f t="shared" si="65"/>
        <v>-10893.69</v>
      </c>
    </row>
    <row r="70" spans="3:11" s="43" customFormat="1" x14ac:dyDescent="0.25">
      <c r="C70" s="79"/>
      <c r="D70" s="79"/>
      <c r="E70" s="43" t="s">
        <v>358</v>
      </c>
      <c r="F70" s="76">
        <f>F113</f>
        <v>3205478.3999999999</v>
      </c>
      <c r="G70" s="76">
        <f t="shared" ref="G70:K70" si="66">G113</f>
        <v>2575445.41</v>
      </c>
      <c r="H70" s="76">
        <f t="shared" si="66"/>
        <v>1861725.8</v>
      </c>
      <c r="I70" s="76">
        <f t="shared" si="66"/>
        <v>1357881.81</v>
      </c>
      <c r="J70" s="76">
        <f t="shared" si="66"/>
        <v>1457364.6</v>
      </c>
      <c r="K70" s="76">
        <f t="shared" si="66"/>
        <v>1612301.8</v>
      </c>
    </row>
    <row r="71" spans="3:11" s="43" customFormat="1" x14ac:dyDescent="0.25">
      <c r="C71" s="79"/>
      <c r="D71" s="79"/>
      <c r="E71" s="43" t="s">
        <v>359</v>
      </c>
      <c r="F71" s="76">
        <f>F123</f>
        <v>10119923.98</v>
      </c>
      <c r="G71" s="76">
        <f t="shared" ref="G71:K71" si="67">G123</f>
        <v>9229482.0899999999</v>
      </c>
      <c r="H71" s="76">
        <f t="shared" si="67"/>
        <v>8161802.71</v>
      </c>
      <c r="I71" s="76">
        <f t="shared" si="67"/>
        <v>8223065.1500000004</v>
      </c>
      <c r="J71" s="76">
        <f t="shared" si="67"/>
        <v>7302319.71</v>
      </c>
      <c r="K71" s="76">
        <f t="shared" si="67"/>
        <v>5629611.5199999996</v>
      </c>
    </row>
    <row r="72" spans="3:11" s="43" customFormat="1" x14ac:dyDescent="0.25">
      <c r="C72" s="79"/>
      <c r="D72" s="79"/>
      <c r="E72" s="43" t="s">
        <v>347</v>
      </c>
      <c r="F72" s="76">
        <f>F128</f>
        <v>2649848.33</v>
      </c>
      <c r="G72" s="76">
        <f t="shared" ref="G72:K72" si="68">G128</f>
        <v>2521982.29</v>
      </c>
      <c r="H72" s="76">
        <f t="shared" si="68"/>
        <v>2269684.65</v>
      </c>
      <c r="I72" s="76">
        <f t="shared" si="68"/>
        <v>1938444.98</v>
      </c>
      <c r="J72" s="76">
        <f t="shared" si="68"/>
        <v>159016.73000000001</v>
      </c>
      <c r="K72" s="76">
        <f t="shared" si="68"/>
        <v>0</v>
      </c>
    </row>
    <row r="73" spans="3:11" s="43" customFormat="1" x14ac:dyDescent="0.25">
      <c r="C73" s="79"/>
      <c r="D73" s="79"/>
      <c r="E73" s="43" t="s">
        <v>348</v>
      </c>
      <c r="F73" s="43">
        <f>F129</f>
        <v>0</v>
      </c>
      <c r="G73" s="43">
        <f t="shared" ref="G73:K73" si="69">G129</f>
        <v>0</v>
      </c>
      <c r="H73" s="43">
        <f t="shared" si="69"/>
        <v>0</v>
      </c>
      <c r="I73" s="43">
        <f t="shared" si="69"/>
        <v>0</v>
      </c>
      <c r="J73" s="43">
        <f t="shared" si="69"/>
        <v>0</v>
      </c>
      <c r="K73" s="43">
        <f t="shared" si="69"/>
        <v>0</v>
      </c>
    </row>
    <row r="74" spans="3:11" s="43" customFormat="1" x14ac:dyDescent="0.25">
      <c r="C74" s="79"/>
      <c r="D74" s="79"/>
      <c r="E74" s="43" t="s">
        <v>349</v>
      </c>
    </row>
    <row r="75" spans="3:11" s="43" customFormat="1" x14ac:dyDescent="0.25">
      <c r="C75" s="79"/>
      <c r="D75" s="79"/>
      <c r="E75" s="43" t="s">
        <v>357</v>
      </c>
      <c r="F75" s="43">
        <f>F139</f>
        <v>176.85</v>
      </c>
      <c r="G75" s="43">
        <f t="shared" ref="G75:K75" si="70">G139</f>
        <v>6.75</v>
      </c>
      <c r="H75" s="43">
        <f t="shared" si="70"/>
        <v>40.630000000000003</v>
      </c>
      <c r="I75" s="43">
        <f t="shared" si="70"/>
        <v>4.6500000000000004</v>
      </c>
      <c r="J75" s="43">
        <f t="shared" si="70"/>
        <v>0.32</v>
      </c>
      <c r="K75" s="43">
        <f t="shared" si="70"/>
        <v>23.88</v>
      </c>
    </row>
    <row r="76" spans="3:11" s="43" customFormat="1" x14ac:dyDescent="0.25">
      <c r="C76" s="79"/>
      <c r="D76" s="79"/>
      <c r="E76" s="43" t="s">
        <v>353</v>
      </c>
      <c r="F76" s="76">
        <f>F135</f>
        <v>332853.09999999998</v>
      </c>
      <c r="G76" s="76">
        <f t="shared" ref="G76:K76" si="71">G135</f>
        <v>318798.92</v>
      </c>
      <c r="H76" s="76">
        <f t="shared" si="71"/>
        <v>381417.83</v>
      </c>
      <c r="I76" s="76">
        <f t="shared" si="71"/>
        <v>460528.14</v>
      </c>
      <c r="J76" s="76">
        <f t="shared" si="71"/>
        <v>3223573.76</v>
      </c>
      <c r="K76" s="76">
        <f t="shared" si="71"/>
        <v>0</v>
      </c>
    </row>
    <row r="77" spans="3:11" s="43" customFormat="1" x14ac:dyDescent="0.25">
      <c r="C77" s="79"/>
      <c r="D77" s="79"/>
      <c r="E77" s="43" t="s">
        <v>354</v>
      </c>
      <c r="F77" s="43">
        <f>F136</f>
        <v>0</v>
      </c>
      <c r="G77" s="43">
        <f t="shared" ref="G77:K77" si="72">G136</f>
        <v>0</v>
      </c>
      <c r="H77" s="43">
        <f t="shared" si="72"/>
        <v>0</v>
      </c>
      <c r="I77" s="43">
        <f t="shared" si="72"/>
        <v>0</v>
      </c>
      <c r="J77" s="43">
        <f t="shared" si="72"/>
        <v>0</v>
      </c>
      <c r="K77" s="43">
        <f t="shared" si="72"/>
        <v>0</v>
      </c>
    </row>
    <row r="78" spans="3:11" s="43" customFormat="1" x14ac:dyDescent="0.25">
      <c r="C78" s="79"/>
      <c r="D78" s="79"/>
      <c r="E78" s="43" t="s">
        <v>355</v>
      </c>
    </row>
    <row r="79" spans="3:11" s="43" customFormat="1" x14ac:dyDescent="0.25">
      <c r="C79" s="79"/>
      <c r="D79" s="79"/>
      <c r="E79" s="43" t="s">
        <v>316</v>
      </c>
      <c r="F79" s="76">
        <f>F98</f>
        <v>4857322.3600000003</v>
      </c>
      <c r="G79" s="76">
        <f t="shared" ref="G79:K79" si="73">G98</f>
        <v>4823200.5199999996</v>
      </c>
      <c r="H79" s="76">
        <f t="shared" si="73"/>
        <v>4563930.18</v>
      </c>
      <c r="I79" s="76">
        <f t="shared" si="73"/>
        <v>4872479.24</v>
      </c>
      <c r="J79" s="76">
        <f t="shared" si="73"/>
        <v>4518549.2699999996</v>
      </c>
      <c r="K79" s="76">
        <f t="shared" si="73"/>
        <v>4354017.34</v>
      </c>
    </row>
    <row r="80" spans="3:11" s="43" customFormat="1" x14ac:dyDescent="0.25">
      <c r="C80" s="79"/>
      <c r="D80" s="79"/>
      <c r="E80" s="43" t="s">
        <v>311</v>
      </c>
      <c r="F80" s="76">
        <f>F100</f>
        <v>2453223.29</v>
      </c>
      <c r="G80" s="76">
        <f t="shared" ref="G80:K80" si="74">G100</f>
        <v>2444095.13</v>
      </c>
      <c r="H80" s="76">
        <f t="shared" si="74"/>
        <v>2363515.9700000002</v>
      </c>
      <c r="I80" s="76">
        <f t="shared" si="74"/>
        <v>2369397.5</v>
      </c>
      <c r="J80" s="76">
        <f t="shared" si="74"/>
        <v>2181883.41</v>
      </c>
      <c r="K80" s="76">
        <f t="shared" si="74"/>
        <v>2224110.23</v>
      </c>
    </row>
    <row r="81" spans="3:11" s="43" customFormat="1" x14ac:dyDescent="0.25">
      <c r="C81" s="79"/>
      <c r="D81" s="79"/>
      <c r="E81" s="43" t="s">
        <v>317</v>
      </c>
      <c r="F81" s="76">
        <f>F107</f>
        <v>0</v>
      </c>
      <c r="G81" s="76">
        <f t="shared" ref="G81:K81" si="75">G107</f>
        <v>0</v>
      </c>
      <c r="H81" s="76">
        <f t="shared" si="75"/>
        <v>0</v>
      </c>
      <c r="I81" s="76">
        <f t="shared" si="75"/>
        <v>0</v>
      </c>
      <c r="J81" s="76">
        <f t="shared" si="75"/>
        <v>0</v>
      </c>
      <c r="K81" s="76">
        <f t="shared" si="75"/>
        <v>0</v>
      </c>
    </row>
    <row r="82" spans="3:11" s="43" customFormat="1" x14ac:dyDescent="0.25">
      <c r="C82" s="79"/>
      <c r="D82" s="79"/>
    </row>
    <row r="84" spans="3:11" x14ac:dyDescent="0.25">
      <c r="E84" s="117" t="s">
        <v>340</v>
      </c>
    </row>
    <row r="85" spans="3:11" x14ac:dyDescent="0.25">
      <c r="E85" s="6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1" x14ac:dyDescent="0.25">
      <c r="E86" s="7" t="s">
        <v>26</v>
      </c>
      <c r="F86" s="36">
        <v>3335721.41</v>
      </c>
      <c r="G86" s="36">
        <v>3273066.44</v>
      </c>
      <c r="H86" s="80">
        <v>3372250.59</v>
      </c>
      <c r="I86" s="80">
        <v>3736548.85</v>
      </c>
      <c r="J86" s="80">
        <v>3446948.92</v>
      </c>
      <c r="K86" s="80">
        <v>3529621.43</v>
      </c>
    </row>
    <row r="87" spans="3:11" ht="15" customHeight="1" x14ac:dyDescent="0.25">
      <c r="E87" s="8" t="s">
        <v>27</v>
      </c>
      <c r="F87" s="81"/>
      <c r="G87" s="81"/>
      <c r="H87" s="112">
        <v>0</v>
      </c>
      <c r="I87" s="112">
        <v>0</v>
      </c>
      <c r="J87" s="81">
        <v>0</v>
      </c>
      <c r="K87" s="81">
        <v>0</v>
      </c>
    </row>
    <row r="88" spans="3:11" ht="15" customHeight="1" x14ac:dyDescent="0.25">
      <c r="E88" s="8" t="s">
        <v>29</v>
      </c>
      <c r="F88" s="35">
        <v>3335721.41</v>
      </c>
      <c r="G88" s="35">
        <v>3273066.44</v>
      </c>
      <c r="H88" s="81">
        <v>3372250.59</v>
      </c>
      <c r="I88" s="81">
        <v>3712548.85</v>
      </c>
      <c r="J88" s="81">
        <v>3445948.92</v>
      </c>
      <c r="K88" s="81">
        <v>3528621.43</v>
      </c>
    </row>
    <row r="89" spans="3:11" ht="15" customHeight="1" x14ac:dyDescent="0.25">
      <c r="E89" s="8" t="s">
        <v>30</v>
      </c>
      <c r="F89" s="81"/>
      <c r="G89" s="81"/>
      <c r="H89" s="112">
        <v>0</v>
      </c>
      <c r="I89" s="81">
        <v>24000</v>
      </c>
      <c r="J89" s="81">
        <v>1000</v>
      </c>
      <c r="K89" s="81">
        <v>1000</v>
      </c>
    </row>
    <row r="90" spans="3:11" ht="15" customHeight="1" x14ac:dyDescent="0.25">
      <c r="E90" s="8" t="s">
        <v>31</v>
      </c>
      <c r="F90" s="81"/>
      <c r="G90" s="81"/>
      <c r="H90" s="112">
        <v>0</v>
      </c>
      <c r="I90" s="112">
        <v>0</v>
      </c>
      <c r="J90" s="81">
        <v>0</v>
      </c>
      <c r="K90" s="81">
        <v>0</v>
      </c>
    </row>
    <row r="91" spans="3:11" ht="15" customHeight="1" x14ac:dyDescent="0.25">
      <c r="E91" s="8" t="s">
        <v>32</v>
      </c>
      <c r="F91" s="81"/>
      <c r="G91" s="81"/>
      <c r="H91" s="112">
        <v>0</v>
      </c>
      <c r="I91" s="112">
        <v>0</v>
      </c>
      <c r="J91" s="80">
        <v>0</v>
      </c>
      <c r="K91" s="80">
        <v>0</v>
      </c>
    </row>
    <row r="92" spans="3:11" x14ac:dyDescent="0.25">
      <c r="E92" s="7" t="s">
        <v>33</v>
      </c>
      <c r="F92" s="36">
        <v>1521600.95</v>
      </c>
      <c r="G92" s="36">
        <v>1550134.08</v>
      </c>
      <c r="H92" s="80">
        <v>1191679.5900000001</v>
      </c>
      <c r="I92" s="80">
        <v>1135930.3899999999</v>
      </c>
      <c r="J92" s="80">
        <v>1071600.3500000001</v>
      </c>
      <c r="K92" s="80">
        <v>824395.91</v>
      </c>
    </row>
    <row r="93" spans="3:11" x14ac:dyDescent="0.25">
      <c r="E93" s="8" t="s">
        <v>34</v>
      </c>
      <c r="F93" s="35">
        <v>62539.22</v>
      </c>
      <c r="G93" s="35">
        <v>15085.86</v>
      </c>
      <c r="H93" s="81">
        <v>18023.740000000002</v>
      </c>
      <c r="I93" s="81">
        <v>13929.42</v>
      </c>
      <c r="J93" s="81">
        <v>20239.93</v>
      </c>
      <c r="K93" s="81">
        <v>21811.46</v>
      </c>
    </row>
    <row r="94" spans="3:11" ht="15" customHeight="1" x14ac:dyDescent="0.25">
      <c r="E94" s="8" t="s">
        <v>35</v>
      </c>
      <c r="F94" s="35">
        <v>147719.88</v>
      </c>
      <c r="G94" s="35">
        <v>165465.19</v>
      </c>
      <c r="H94" s="81">
        <v>128317.06</v>
      </c>
      <c r="I94" s="81">
        <v>103475.15</v>
      </c>
      <c r="J94" s="81">
        <v>151091.85</v>
      </c>
      <c r="K94" s="81">
        <v>43691.63</v>
      </c>
    </row>
    <row r="95" spans="3:11" ht="15" customHeight="1" x14ac:dyDescent="0.25">
      <c r="E95" s="8" t="s">
        <v>36</v>
      </c>
      <c r="F95" s="35">
        <v>1303921.98</v>
      </c>
      <c r="G95" s="35">
        <v>1364586.17</v>
      </c>
      <c r="H95" s="81">
        <v>1003091.29</v>
      </c>
      <c r="I95" s="81">
        <v>1017585.82</v>
      </c>
      <c r="J95" s="81">
        <v>896462.77</v>
      </c>
      <c r="K95" s="81">
        <v>749266.02</v>
      </c>
    </row>
    <row r="96" spans="3:11" ht="15" customHeight="1" x14ac:dyDescent="0.25">
      <c r="E96" s="8" t="s">
        <v>37</v>
      </c>
      <c r="F96" s="35">
        <v>7419.87</v>
      </c>
      <c r="G96" s="35">
        <v>4996.8599999999997</v>
      </c>
      <c r="H96" s="81">
        <v>42247.5</v>
      </c>
      <c r="I96" s="112">
        <v>940</v>
      </c>
      <c r="J96" s="81">
        <v>3805.8</v>
      </c>
      <c r="K96" s="81">
        <v>9626.7999999999993</v>
      </c>
    </row>
    <row r="97" spans="5:11" ht="15" customHeight="1" x14ac:dyDescent="0.25">
      <c r="E97" s="7" t="s">
        <v>38</v>
      </c>
      <c r="F97" s="80"/>
      <c r="G97" s="80"/>
      <c r="H97" s="82"/>
      <c r="I97" s="82"/>
      <c r="J97" s="83"/>
      <c r="K97" s="83"/>
    </row>
    <row r="98" spans="5:11" x14ac:dyDescent="0.25">
      <c r="E98" s="7" t="s">
        <v>39</v>
      </c>
      <c r="F98" s="36">
        <v>4857322.3600000003</v>
      </c>
      <c r="G98" s="36">
        <v>4823200.5199999996</v>
      </c>
      <c r="H98" s="80">
        <v>4563930.18</v>
      </c>
      <c r="I98" s="80">
        <v>4872479.24</v>
      </c>
      <c r="J98" s="80">
        <v>4518549.2699999996</v>
      </c>
      <c r="K98" s="80">
        <v>4354017.34</v>
      </c>
    </row>
    <row r="99" spans="5:11" x14ac:dyDescent="0.25">
      <c r="E99" s="6" t="s">
        <v>40</v>
      </c>
      <c r="F99" s="84"/>
      <c r="G99" s="84"/>
      <c r="H99" s="85"/>
      <c r="I99" s="85"/>
      <c r="J99" s="86"/>
      <c r="K99" s="86"/>
    </row>
    <row r="100" spans="5:11" x14ac:dyDescent="0.25">
      <c r="E100" s="7" t="s">
        <v>41</v>
      </c>
      <c r="F100" s="36">
        <v>2453223.29</v>
      </c>
      <c r="G100" s="36">
        <v>2444095.13</v>
      </c>
      <c r="H100" s="80">
        <v>2363515.9700000002</v>
      </c>
      <c r="I100" s="80">
        <v>2369397.5</v>
      </c>
      <c r="J100" s="80">
        <v>2181883.41</v>
      </c>
      <c r="K100" s="80">
        <v>2224110.23</v>
      </c>
    </row>
    <row r="101" spans="5:11" x14ac:dyDescent="0.25">
      <c r="E101" s="8" t="s">
        <v>42</v>
      </c>
      <c r="F101" s="35">
        <v>2232218.02</v>
      </c>
      <c r="G101" s="35">
        <v>2181706.54</v>
      </c>
      <c r="H101" s="81">
        <v>2270128.21</v>
      </c>
      <c r="I101" s="81">
        <v>2323821.13</v>
      </c>
      <c r="J101" s="81">
        <v>2184026.2400000002</v>
      </c>
      <c r="K101" s="81">
        <v>2251003.33</v>
      </c>
    </row>
    <row r="102" spans="5:11" x14ac:dyDescent="0.25">
      <c r="E102" s="8" t="s">
        <v>43</v>
      </c>
      <c r="F102" s="35">
        <v>6948.05</v>
      </c>
      <c r="G102" s="35">
        <v>6948.05</v>
      </c>
      <c r="H102" s="81">
        <v>6948.05</v>
      </c>
      <c r="I102" s="81">
        <v>6948.05</v>
      </c>
      <c r="J102" s="81">
        <v>6948.05</v>
      </c>
      <c r="K102" s="81">
        <v>6948.05</v>
      </c>
    </row>
    <row r="103" spans="5:11" ht="15" customHeight="1" x14ac:dyDescent="0.25">
      <c r="E103" s="8" t="s">
        <v>44</v>
      </c>
      <c r="F103" s="35">
        <v>123875.16</v>
      </c>
      <c r="G103" s="35">
        <v>84950.55</v>
      </c>
      <c r="H103" s="81">
        <v>16068.93</v>
      </c>
      <c r="I103" s="81">
        <v>-11179.6</v>
      </c>
      <c r="J103" s="81">
        <v>-20758.060000000001</v>
      </c>
      <c r="K103" s="81">
        <v>-22947.46</v>
      </c>
    </row>
    <row r="104" spans="5:11" x14ac:dyDescent="0.25">
      <c r="E104" s="8" t="s">
        <v>45</v>
      </c>
      <c r="F104" s="35">
        <v>90182.06</v>
      </c>
      <c r="G104" s="35">
        <v>170489.99</v>
      </c>
      <c r="H104" s="81">
        <v>70370.78</v>
      </c>
      <c r="I104" s="81">
        <v>49807.92</v>
      </c>
      <c r="J104" s="81">
        <v>11667.18</v>
      </c>
      <c r="K104" s="81">
        <v>-10893.69</v>
      </c>
    </row>
    <row r="105" spans="5:11" ht="15" customHeight="1" x14ac:dyDescent="0.25">
      <c r="E105" s="18" t="s">
        <v>91</v>
      </c>
      <c r="F105" s="80"/>
      <c r="G105" s="80"/>
      <c r="H105" s="80">
        <v>2200414.21</v>
      </c>
      <c r="I105" s="80">
        <v>2503081.7400000002</v>
      </c>
      <c r="J105" s="80">
        <v>2336665.86</v>
      </c>
      <c r="K105" s="80">
        <v>2129907.11</v>
      </c>
    </row>
    <row r="106" spans="5:11" ht="15" customHeight="1" x14ac:dyDescent="0.25">
      <c r="E106" s="8" t="s">
        <v>46</v>
      </c>
      <c r="F106" s="81"/>
      <c r="G106" s="81"/>
      <c r="H106" s="81"/>
      <c r="I106" s="81"/>
      <c r="J106" s="81">
        <v>0</v>
      </c>
      <c r="K106" s="81">
        <v>0</v>
      </c>
    </row>
    <row r="107" spans="5:11" ht="15" customHeight="1" x14ac:dyDescent="0.25">
      <c r="E107" s="17" t="s">
        <v>89</v>
      </c>
      <c r="F107" s="81"/>
      <c r="G107" s="81"/>
      <c r="H107" s="81"/>
      <c r="I107" s="81"/>
      <c r="J107" s="81">
        <v>0</v>
      </c>
      <c r="K107" s="81">
        <v>0</v>
      </c>
    </row>
    <row r="108" spans="5:11" ht="15" customHeight="1" x14ac:dyDescent="0.25">
      <c r="E108" s="17" t="s">
        <v>90</v>
      </c>
      <c r="F108" s="35">
        <v>687672.83</v>
      </c>
      <c r="G108" s="35">
        <v>670415.04</v>
      </c>
      <c r="H108" s="81">
        <v>692674.46</v>
      </c>
      <c r="I108" s="81">
        <v>622461.59</v>
      </c>
      <c r="J108" s="81">
        <v>591995.9</v>
      </c>
      <c r="K108" s="81">
        <v>487522.79</v>
      </c>
    </row>
    <row r="109" spans="5:11" ht="15" customHeight="1" x14ac:dyDescent="0.25">
      <c r="E109" s="17" t="s">
        <v>88</v>
      </c>
      <c r="F109" s="35">
        <v>1716426.24</v>
      </c>
      <c r="G109" s="35">
        <v>1708690.35</v>
      </c>
      <c r="H109" s="81">
        <v>1507739.75</v>
      </c>
      <c r="I109" s="81">
        <v>1880620.15</v>
      </c>
      <c r="J109" s="81">
        <v>1744669.96</v>
      </c>
      <c r="K109" s="81">
        <v>1642384.32</v>
      </c>
    </row>
    <row r="110" spans="5:11" x14ac:dyDescent="0.25">
      <c r="E110" s="7" t="s">
        <v>47</v>
      </c>
      <c r="F110" s="36">
        <v>4857322.3600000003</v>
      </c>
      <c r="G110" s="36">
        <v>4823200.5199999996</v>
      </c>
      <c r="H110" s="80">
        <v>4563930.18</v>
      </c>
      <c r="I110" s="80">
        <v>4872479.24</v>
      </c>
      <c r="J110" s="80">
        <v>4518549.2699999996</v>
      </c>
      <c r="K110" s="80">
        <v>4354017.34</v>
      </c>
    </row>
    <row r="111" spans="5:11" x14ac:dyDescent="0.25">
      <c r="F111" s="42"/>
      <c r="G111" s="42"/>
      <c r="H111" s="42"/>
      <c r="I111" s="42"/>
      <c r="J111" s="42"/>
      <c r="K111" s="42"/>
    </row>
    <row r="112" spans="5:11" x14ac:dyDescent="0.25">
      <c r="E112" s="117" t="s">
        <v>339</v>
      </c>
      <c r="F112" s="55"/>
      <c r="G112" s="55"/>
      <c r="H112" s="55"/>
      <c r="I112" s="42"/>
      <c r="J112" s="42"/>
      <c r="K112" s="42"/>
    </row>
    <row r="113" spans="5:11" x14ac:dyDescent="0.25">
      <c r="E113" s="29" t="s">
        <v>64</v>
      </c>
      <c r="F113" s="87">
        <v>3205478.3999999999</v>
      </c>
      <c r="G113" s="88">
        <v>2575445.41</v>
      </c>
      <c r="H113" s="88">
        <v>1861725.8</v>
      </c>
      <c r="I113" s="88">
        <v>1357881.81</v>
      </c>
      <c r="J113" s="88">
        <v>1457364.6</v>
      </c>
      <c r="K113" s="88">
        <v>1612301.8</v>
      </c>
    </row>
    <row r="114" spans="5:11" x14ac:dyDescent="0.25">
      <c r="E114" s="29" t="s">
        <v>65</v>
      </c>
      <c r="F114" s="113">
        <v>0</v>
      </c>
      <c r="G114" s="112">
        <v>0</v>
      </c>
      <c r="H114" s="112">
        <v>0</v>
      </c>
      <c r="I114" s="112">
        <v>0</v>
      </c>
      <c r="J114" s="81">
        <v>1457364.6</v>
      </c>
      <c r="K114" s="81">
        <v>1612301.8</v>
      </c>
    </row>
    <row r="115" spans="5:11" x14ac:dyDescent="0.25">
      <c r="E115" s="29" t="s">
        <v>66</v>
      </c>
      <c r="F115" s="89">
        <v>3205478.3999999999</v>
      </c>
      <c r="G115" s="81">
        <v>2575445.41</v>
      </c>
      <c r="H115" s="81">
        <v>1861725.8</v>
      </c>
      <c r="I115" s="81">
        <v>1357881.81</v>
      </c>
      <c r="J115" s="112">
        <v>0</v>
      </c>
      <c r="K115" s="112">
        <v>0</v>
      </c>
    </row>
    <row r="116" spans="5:11" x14ac:dyDescent="0.25">
      <c r="E116" s="29" t="s">
        <v>67</v>
      </c>
      <c r="F116" s="87">
        <v>11824202.24</v>
      </c>
      <c r="G116" s="88">
        <v>10359736.98</v>
      </c>
      <c r="H116" s="88">
        <v>8877781.7100000009</v>
      </c>
      <c r="I116" s="88">
        <v>8486948.4000000004</v>
      </c>
      <c r="J116" s="88">
        <v>4686883.8600000003</v>
      </c>
      <c r="K116" s="88">
        <v>6548908.8099999996</v>
      </c>
    </row>
    <row r="117" spans="5:11" x14ac:dyDescent="0.25">
      <c r="E117" s="29" t="s">
        <v>48</v>
      </c>
      <c r="F117" s="89">
        <v>11824202.24</v>
      </c>
      <c r="G117" s="81">
        <v>10359736.98</v>
      </c>
      <c r="H117" s="81">
        <v>8877781.7100000009</v>
      </c>
      <c r="I117" s="81">
        <v>8486948.4000000004</v>
      </c>
      <c r="J117" s="81">
        <v>4686883.8600000003</v>
      </c>
      <c r="K117" s="81">
        <v>6548908.8099999996</v>
      </c>
    </row>
    <row r="118" spans="5:11" x14ac:dyDescent="0.25">
      <c r="E118" s="29" t="s">
        <v>68</v>
      </c>
      <c r="F118" s="113">
        <v>0</v>
      </c>
      <c r="G118" s="112">
        <v>0</v>
      </c>
      <c r="H118" s="112">
        <v>0</v>
      </c>
      <c r="I118" s="112">
        <v>0</v>
      </c>
      <c r="J118" s="112">
        <v>0</v>
      </c>
      <c r="K118" s="112">
        <v>0</v>
      </c>
    </row>
    <row r="119" spans="5:11" x14ac:dyDescent="0.25">
      <c r="E119" s="29" t="s">
        <v>69</v>
      </c>
      <c r="F119" s="87">
        <v>-8618723.8399999999</v>
      </c>
      <c r="G119" s="88">
        <v>-7784291.5700000003</v>
      </c>
      <c r="H119" s="88">
        <v>-7016055.9100000001</v>
      </c>
      <c r="I119" s="88">
        <v>-7129066.5899999999</v>
      </c>
      <c r="J119" s="88">
        <v>-3229519.26</v>
      </c>
      <c r="K119" s="88">
        <v>-4936607.01</v>
      </c>
    </row>
    <row r="120" spans="5:11" x14ac:dyDescent="0.25">
      <c r="E120" s="29" t="s">
        <v>70</v>
      </c>
      <c r="F120" s="113">
        <v>0</v>
      </c>
      <c r="G120" s="112">
        <v>0</v>
      </c>
      <c r="H120" s="112">
        <v>0</v>
      </c>
      <c r="I120" s="112">
        <v>0</v>
      </c>
      <c r="J120" s="112">
        <v>0</v>
      </c>
      <c r="K120" s="112">
        <v>0</v>
      </c>
    </row>
    <row r="121" spans="5:11" x14ac:dyDescent="0.25">
      <c r="E121" s="29" t="s">
        <v>0</v>
      </c>
      <c r="F121" s="89">
        <v>1078060.18</v>
      </c>
      <c r="G121" s="81">
        <v>954773.34</v>
      </c>
      <c r="H121" s="81">
        <v>692653.11</v>
      </c>
      <c r="I121" s="81">
        <v>583100</v>
      </c>
      <c r="J121" s="81">
        <v>533938.76</v>
      </c>
      <c r="K121" s="81">
        <v>429044.27</v>
      </c>
    </row>
    <row r="122" spans="5:11" x14ac:dyDescent="0.25">
      <c r="E122" s="29" t="s">
        <v>71</v>
      </c>
      <c r="F122" s="87">
        <v>-9696784.0199999996</v>
      </c>
      <c r="G122" s="88">
        <v>-8739064.9100000001</v>
      </c>
      <c r="H122" s="88">
        <v>-7708709.0199999996</v>
      </c>
      <c r="I122" s="88">
        <v>-7712166.5899999999</v>
      </c>
      <c r="J122" s="88">
        <v>-3763458.02</v>
      </c>
      <c r="K122" s="88">
        <v>-5365651.28</v>
      </c>
    </row>
    <row r="123" spans="5:11" x14ac:dyDescent="0.25">
      <c r="E123" s="29" t="s">
        <v>49</v>
      </c>
      <c r="F123" s="87">
        <v>10119923.98</v>
      </c>
      <c r="G123" s="88">
        <v>9229482.0899999999</v>
      </c>
      <c r="H123" s="88">
        <v>8161802.71</v>
      </c>
      <c r="I123" s="88">
        <v>8223065.1500000004</v>
      </c>
      <c r="J123" s="88">
        <v>7302319.71</v>
      </c>
      <c r="K123" s="88">
        <v>5629611.5199999996</v>
      </c>
    </row>
    <row r="124" spans="5:11" x14ac:dyDescent="0.25">
      <c r="E124" s="29" t="s">
        <v>72</v>
      </c>
      <c r="F124" s="113">
        <v>0</v>
      </c>
      <c r="G124" s="112">
        <v>0</v>
      </c>
      <c r="H124" s="112">
        <v>0</v>
      </c>
      <c r="I124" s="112">
        <v>0</v>
      </c>
      <c r="J124" s="112">
        <v>0</v>
      </c>
      <c r="K124" s="112">
        <v>0</v>
      </c>
    </row>
    <row r="125" spans="5:11" x14ac:dyDescent="0.25">
      <c r="E125" s="29" t="s">
        <v>50</v>
      </c>
      <c r="F125" s="89">
        <v>7470075.6500000004</v>
      </c>
      <c r="G125" s="81">
        <v>6707499.7999999998</v>
      </c>
      <c r="H125" s="81">
        <v>5892118.0599999996</v>
      </c>
      <c r="I125" s="81">
        <v>6284620.1699999999</v>
      </c>
      <c r="J125" s="81">
        <v>5661320.96</v>
      </c>
      <c r="K125" s="81">
        <v>4160058.39</v>
      </c>
    </row>
    <row r="126" spans="5:11" x14ac:dyDescent="0.25">
      <c r="E126" s="29" t="s">
        <v>73</v>
      </c>
      <c r="F126" s="113">
        <v>0</v>
      </c>
      <c r="G126" s="112">
        <v>0</v>
      </c>
      <c r="H126" s="112">
        <v>0</v>
      </c>
      <c r="I126" s="112">
        <v>0</v>
      </c>
      <c r="J126" s="112">
        <v>0</v>
      </c>
      <c r="K126" s="112">
        <v>0</v>
      </c>
    </row>
    <row r="127" spans="5:11" x14ac:dyDescent="0.25">
      <c r="E127" s="29" t="s">
        <v>51</v>
      </c>
      <c r="F127" s="89">
        <v>2649848.33</v>
      </c>
      <c r="G127" s="81">
        <v>2521982.29</v>
      </c>
      <c r="H127" s="81">
        <v>2269684.65</v>
      </c>
      <c r="I127" s="81">
        <v>1938444.98</v>
      </c>
      <c r="J127" s="81">
        <v>1640998.75</v>
      </c>
      <c r="K127" s="81">
        <v>1469553.13</v>
      </c>
    </row>
    <row r="128" spans="5:11" x14ac:dyDescent="0.25">
      <c r="E128" s="29" t="s">
        <v>74</v>
      </c>
      <c r="F128" s="89">
        <v>2649848.33</v>
      </c>
      <c r="G128" s="81">
        <v>2521982.29</v>
      </c>
      <c r="H128" s="81">
        <v>2269684.65</v>
      </c>
      <c r="I128" s="81">
        <v>1938444.98</v>
      </c>
      <c r="J128" s="81">
        <v>159016.73000000001</v>
      </c>
      <c r="K128" s="112">
        <v>0</v>
      </c>
    </row>
    <row r="129" spans="5:11" x14ac:dyDescent="0.25">
      <c r="E129" s="29" t="s">
        <v>75</v>
      </c>
      <c r="F129" s="113">
        <v>0</v>
      </c>
      <c r="G129" s="112">
        <v>0</v>
      </c>
      <c r="H129" s="112">
        <v>0</v>
      </c>
      <c r="I129" s="112">
        <v>0</v>
      </c>
      <c r="J129" s="112">
        <v>0</v>
      </c>
      <c r="K129" s="112">
        <v>0</v>
      </c>
    </row>
    <row r="130" spans="5:11" x14ac:dyDescent="0.25">
      <c r="E130" s="29" t="s">
        <v>52</v>
      </c>
      <c r="F130" s="113">
        <v>0</v>
      </c>
      <c r="G130" s="112">
        <v>0</v>
      </c>
      <c r="H130" s="112">
        <v>0</v>
      </c>
      <c r="I130" s="112">
        <v>0</v>
      </c>
      <c r="J130" s="81">
        <v>1481982.02</v>
      </c>
      <c r="K130" s="81">
        <v>1469553.13</v>
      </c>
    </row>
    <row r="131" spans="5:11" x14ac:dyDescent="0.25">
      <c r="E131" s="29" t="s">
        <v>53</v>
      </c>
      <c r="F131" s="87">
        <v>332853.09999999998</v>
      </c>
      <c r="G131" s="88">
        <v>318798.92</v>
      </c>
      <c r="H131" s="88">
        <v>381417.83</v>
      </c>
      <c r="I131" s="88">
        <v>460528.14</v>
      </c>
      <c r="J131" s="88">
        <v>3527046.89</v>
      </c>
      <c r="K131" s="88">
        <v>274869.25</v>
      </c>
    </row>
    <row r="132" spans="5:11" x14ac:dyDescent="0.25">
      <c r="E132" s="29" t="s">
        <v>76</v>
      </c>
      <c r="F132" s="113">
        <v>0</v>
      </c>
      <c r="G132" s="112">
        <v>0</v>
      </c>
      <c r="H132" s="112">
        <v>0</v>
      </c>
      <c r="I132" s="112">
        <v>0</v>
      </c>
      <c r="J132" s="112">
        <v>0</v>
      </c>
      <c r="K132" s="112">
        <v>0</v>
      </c>
    </row>
    <row r="133" spans="5:11" x14ac:dyDescent="0.25">
      <c r="E133" s="29" t="s">
        <v>77</v>
      </c>
      <c r="F133" s="113">
        <v>0</v>
      </c>
      <c r="G133" s="112">
        <v>0</v>
      </c>
      <c r="H133" s="112">
        <v>0</v>
      </c>
      <c r="I133" s="112">
        <v>0</v>
      </c>
      <c r="J133" s="112">
        <v>0</v>
      </c>
      <c r="K133" s="112">
        <v>0</v>
      </c>
    </row>
    <row r="134" spans="5:11" x14ac:dyDescent="0.25">
      <c r="E134" s="29" t="s">
        <v>54</v>
      </c>
      <c r="F134" s="89">
        <v>332853.09999999998</v>
      </c>
      <c r="G134" s="81">
        <v>318798.92</v>
      </c>
      <c r="H134" s="81">
        <v>381417.83</v>
      </c>
      <c r="I134" s="81">
        <v>460528.14</v>
      </c>
      <c r="J134" s="81">
        <v>3527046.89</v>
      </c>
      <c r="K134" s="81">
        <v>274869.25</v>
      </c>
    </row>
    <row r="135" spans="5:11" x14ac:dyDescent="0.25">
      <c r="E135" s="29" t="s">
        <v>78</v>
      </c>
      <c r="F135" s="89">
        <v>332853.09999999998</v>
      </c>
      <c r="G135" s="81">
        <v>318798.92</v>
      </c>
      <c r="H135" s="81">
        <v>381417.83</v>
      </c>
      <c r="I135" s="81">
        <v>460528.14</v>
      </c>
      <c r="J135" s="81">
        <v>3223573.76</v>
      </c>
      <c r="K135" s="112">
        <v>0</v>
      </c>
    </row>
    <row r="136" spans="5:11" x14ac:dyDescent="0.25">
      <c r="E136" s="29" t="s">
        <v>79</v>
      </c>
      <c r="F136" s="113">
        <v>0</v>
      </c>
      <c r="G136" s="112">
        <v>0</v>
      </c>
      <c r="H136" s="112">
        <v>0</v>
      </c>
      <c r="I136" s="112">
        <v>0</v>
      </c>
      <c r="J136" s="112">
        <v>0</v>
      </c>
      <c r="K136" s="112">
        <v>0</v>
      </c>
    </row>
    <row r="137" spans="5:11" x14ac:dyDescent="0.25">
      <c r="E137" s="29" t="s">
        <v>55</v>
      </c>
      <c r="F137" s="113">
        <v>0</v>
      </c>
      <c r="G137" s="112">
        <v>0</v>
      </c>
      <c r="H137" s="112">
        <v>0</v>
      </c>
      <c r="I137" s="112">
        <v>0</v>
      </c>
      <c r="J137" s="81">
        <v>303473.13</v>
      </c>
      <c r="K137" s="81">
        <v>274869.25</v>
      </c>
    </row>
    <row r="138" spans="5:11" x14ac:dyDescent="0.25">
      <c r="E138" s="29" t="s">
        <v>80</v>
      </c>
      <c r="F138" s="87">
        <v>90286.86</v>
      </c>
      <c r="G138" s="88">
        <v>171618.26</v>
      </c>
      <c r="H138" s="88">
        <v>71675.86</v>
      </c>
      <c r="I138" s="88">
        <v>50370.42</v>
      </c>
      <c r="J138" s="88">
        <v>11814.8</v>
      </c>
      <c r="K138" s="88">
        <v>-10909.01</v>
      </c>
    </row>
    <row r="139" spans="5:11" x14ac:dyDescent="0.25">
      <c r="E139" s="29" t="s">
        <v>1</v>
      </c>
      <c r="F139" s="114">
        <v>176.85</v>
      </c>
      <c r="G139" s="115">
        <v>6.75</v>
      </c>
      <c r="H139" s="115">
        <v>40.630000000000003</v>
      </c>
      <c r="I139" s="115">
        <v>4.6500000000000004</v>
      </c>
      <c r="J139" s="115">
        <v>0.32</v>
      </c>
      <c r="K139" s="115">
        <v>23.88</v>
      </c>
    </row>
    <row r="140" spans="5:11" x14ac:dyDescent="0.25">
      <c r="E140" s="29" t="s">
        <v>81</v>
      </c>
      <c r="F140" s="113">
        <v>0</v>
      </c>
      <c r="G140" s="112">
        <v>0</v>
      </c>
      <c r="H140" s="112">
        <v>0</v>
      </c>
      <c r="I140" s="112">
        <v>0</v>
      </c>
      <c r="J140" s="112">
        <v>0</v>
      </c>
      <c r="K140" s="112">
        <v>0</v>
      </c>
    </row>
    <row r="141" spans="5:11" x14ac:dyDescent="0.25">
      <c r="E141" s="29" t="s">
        <v>82</v>
      </c>
      <c r="F141" s="113">
        <v>0</v>
      </c>
      <c r="G141" s="112">
        <v>0</v>
      </c>
      <c r="H141" s="112">
        <v>0</v>
      </c>
      <c r="I141" s="112">
        <v>0</v>
      </c>
      <c r="J141" s="112">
        <v>0</v>
      </c>
      <c r="K141" s="112">
        <v>0</v>
      </c>
    </row>
    <row r="142" spans="5:11" x14ac:dyDescent="0.25">
      <c r="E142" s="29" t="s">
        <v>83</v>
      </c>
      <c r="F142" s="113">
        <v>0</v>
      </c>
      <c r="G142" s="112">
        <v>0</v>
      </c>
      <c r="H142" s="112">
        <v>0</v>
      </c>
      <c r="I142" s="112">
        <v>0</v>
      </c>
      <c r="J142" s="112">
        <v>0</v>
      </c>
      <c r="K142" s="112">
        <v>0</v>
      </c>
    </row>
    <row r="143" spans="5:11" x14ac:dyDescent="0.25">
      <c r="E143" s="29" t="s">
        <v>56</v>
      </c>
      <c r="F143" s="113">
        <v>176.85</v>
      </c>
      <c r="G143" s="112">
        <v>6.75</v>
      </c>
      <c r="H143" s="112">
        <v>40.630000000000003</v>
      </c>
      <c r="I143" s="112">
        <v>4.6500000000000004</v>
      </c>
      <c r="J143" s="112">
        <v>0.32</v>
      </c>
      <c r="K143" s="112">
        <v>23.88</v>
      </c>
    </row>
    <row r="144" spans="5:11" x14ac:dyDescent="0.25">
      <c r="E144" s="29" t="s">
        <v>84</v>
      </c>
      <c r="F144" s="113">
        <v>0</v>
      </c>
      <c r="G144" s="112">
        <v>0</v>
      </c>
      <c r="H144" s="112">
        <v>0</v>
      </c>
      <c r="I144" s="112">
        <v>0</v>
      </c>
      <c r="J144" s="112">
        <v>0</v>
      </c>
      <c r="K144" s="112">
        <v>0</v>
      </c>
    </row>
    <row r="145" spans="5:11" x14ac:dyDescent="0.25">
      <c r="E145" s="29" t="s">
        <v>85</v>
      </c>
      <c r="F145" s="113">
        <v>0</v>
      </c>
      <c r="G145" s="112">
        <v>0</v>
      </c>
      <c r="H145" s="112">
        <v>0</v>
      </c>
      <c r="I145" s="112">
        <v>0</v>
      </c>
      <c r="J145" s="112">
        <v>0</v>
      </c>
      <c r="K145" s="112">
        <v>0</v>
      </c>
    </row>
    <row r="146" spans="5:11" x14ac:dyDescent="0.25">
      <c r="E146" s="29" t="s">
        <v>57</v>
      </c>
      <c r="F146" s="113">
        <v>0</v>
      </c>
      <c r="G146" s="112">
        <v>0</v>
      </c>
      <c r="H146" s="112">
        <v>0</v>
      </c>
      <c r="I146" s="112">
        <v>0</v>
      </c>
      <c r="J146" s="112">
        <v>0</v>
      </c>
      <c r="K146" s="112">
        <v>0</v>
      </c>
    </row>
    <row r="147" spans="5:11" x14ac:dyDescent="0.25">
      <c r="E147" s="29" t="s">
        <v>2</v>
      </c>
      <c r="F147" s="114">
        <v>281.64999999999998</v>
      </c>
      <c r="G147" s="88">
        <v>1135.02</v>
      </c>
      <c r="H147" s="88">
        <v>1345.71</v>
      </c>
      <c r="I147" s="115">
        <v>567.15</v>
      </c>
      <c r="J147" s="115">
        <v>147.94</v>
      </c>
      <c r="K147" s="115">
        <v>8.56</v>
      </c>
    </row>
    <row r="148" spans="5:11" x14ac:dyDescent="0.25">
      <c r="E148" s="29" t="s">
        <v>58</v>
      </c>
      <c r="F148" s="113">
        <v>281.64999999999998</v>
      </c>
      <c r="G148" s="81">
        <v>1135.02</v>
      </c>
      <c r="H148" s="81">
        <v>1345.71</v>
      </c>
      <c r="I148" s="112">
        <v>567.15</v>
      </c>
      <c r="J148" s="112">
        <v>147.94</v>
      </c>
      <c r="K148" s="112">
        <v>8.56</v>
      </c>
    </row>
    <row r="149" spans="5:11" x14ac:dyDescent="0.25">
      <c r="E149" s="29" t="s">
        <v>86</v>
      </c>
      <c r="F149" s="113">
        <v>0</v>
      </c>
      <c r="G149" s="112">
        <v>0</v>
      </c>
      <c r="H149" s="112">
        <v>0</v>
      </c>
      <c r="I149" s="112">
        <v>0</v>
      </c>
      <c r="J149" s="112">
        <v>0</v>
      </c>
      <c r="K149" s="112">
        <v>0</v>
      </c>
    </row>
    <row r="150" spans="5:11" x14ac:dyDescent="0.25">
      <c r="E150" s="29" t="s">
        <v>87</v>
      </c>
      <c r="F150" s="113">
        <v>0</v>
      </c>
      <c r="G150" s="112">
        <v>0</v>
      </c>
      <c r="H150" s="112">
        <v>0</v>
      </c>
      <c r="I150" s="112">
        <v>0</v>
      </c>
      <c r="J150" s="112">
        <v>0</v>
      </c>
      <c r="K150" s="112">
        <v>0</v>
      </c>
    </row>
    <row r="151" spans="5:11" x14ac:dyDescent="0.25">
      <c r="E151" s="29" t="s">
        <v>59</v>
      </c>
      <c r="F151" s="113">
        <v>0</v>
      </c>
      <c r="G151" s="112">
        <v>0</v>
      </c>
      <c r="H151" s="112">
        <v>0</v>
      </c>
      <c r="I151" s="112">
        <v>0</v>
      </c>
      <c r="J151" s="112">
        <v>0</v>
      </c>
      <c r="K151" s="112">
        <v>0</v>
      </c>
    </row>
    <row r="152" spans="5:11" x14ac:dyDescent="0.25">
      <c r="E152" s="29" t="s">
        <v>60</v>
      </c>
      <c r="F152" s="87">
        <v>90182.06</v>
      </c>
      <c r="G152" s="88">
        <v>170489.99</v>
      </c>
      <c r="H152" s="88">
        <v>70370.78</v>
      </c>
      <c r="I152" s="88">
        <v>49807.92</v>
      </c>
      <c r="J152" s="88">
        <v>11667.18</v>
      </c>
      <c r="K152" s="88">
        <v>-10893.69</v>
      </c>
    </row>
    <row r="153" spans="5:11" x14ac:dyDescent="0.25">
      <c r="E153" s="29" t="s">
        <v>61</v>
      </c>
      <c r="F153" s="114">
        <v>0</v>
      </c>
      <c r="G153" s="115">
        <v>0</v>
      </c>
      <c r="H153" s="115">
        <v>0</v>
      </c>
      <c r="I153" s="115">
        <v>0</v>
      </c>
      <c r="J153" s="115">
        <v>0</v>
      </c>
      <c r="K153" s="115">
        <v>0</v>
      </c>
    </row>
    <row r="154" spans="5:11" x14ac:dyDescent="0.25">
      <c r="E154" s="29" t="s">
        <v>62</v>
      </c>
      <c r="F154" s="114">
        <v>0</v>
      </c>
      <c r="G154" s="115">
        <v>0</v>
      </c>
      <c r="H154" s="115">
        <v>0</v>
      </c>
      <c r="I154" s="115">
        <v>0</v>
      </c>
      <c r="J154" s="115">
        <v>0</v>
      </c>
      <c r="K154" s="115">
        <v>0</v>
      </c>
    </row>
    <row r="155" spans="5:11" x14ac:dyDescent="0.25">
      <c r="E155" s="29" t="s">
        <v>63</v>
      </c>
      <c r="F155" s="87">
        <v>90182.06</v>
      </c>
      <c r="G155" s="88">
        <v>170489.99</v>
      </c>
      <c r="H155" s="88">
        <v>70370.78</v>
      </c>
      <c r="I155" s="88">
        <v>49807.92</v>
      </c>
      <c r="J155" s="88">
        <v>11667.18</v>
      </c>
      <c r="K155" s="88">
        <v>-10893.69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E4F90-9785-41E4-901E-461B439F84D3}">
  <sheetPr>
    <tabColor theme="5" tint="0.79998168889431442"/>
  </sheetPr>
  <dimension ref="A1:K177"/>
  <sheetViews>
    <sheetView topLeftCell="A172" workbookViewId="0">
      <selection sqref="A1:L188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399</v>
      </c>
      <c r="F1" s="192"/>
      <c r="G1" s="192"/>
      <c r="H1" s="192"/>
      <c r="I1" s="192"/>
      <c r="J1" s="192"/>
      <c r="K1" s="192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9.527304788374491E-2</v>
      </c>
      <c r="B4" s="139">
        <f>MAX(F4:K4)</f>
        <v>0.72835870046354623</v>
      </c>
      <c r="C4" s="155">
        <f>AVERAGE(F4:K4)</f>
        <v>0.44862709567378856</v>
      </c>
      <c r="D4" s="156">
        <f>MEDIAN(F4:K4)</f>
        <v>0.47477228114221676</v>
      </c>
      <c r="E4" s="47" t="s">
        <v>364</v>
      </c>
      <c r="F4" s="71">
        <f>SUM(F9:F12)/SUM(F13:F15)</f>
        <v>0.72835870046354623</v>
      </c>
      <c r="G4" s="71">
        <f t="shared" ref="G4:K4" si="0">SUM(G9:G12)/SUM(G13:G15)</f>
        <v>0.67669776401064075</v>
      </c>
      <c r="H4" s="71">
        <f t="shared" si="0"/>
        <v>0.58567294016504257</v>
      </c>
      <c r="I4" s="71">
        <f t="shared" si="0"/>
        <v>0.36387162211939095</v>
      </c>
      <c r="J4" s="71">
        <f t="shared" si="0"/>
        <v>0.24188849940036586</v>
      </c>
      <c r="K4" s="71">
        <f t="shared" si="0"/>
        <v>9.527304788374491E-2</v>
      </c>
    </row>
    <row r="5" spans="1:11" s="43" customFormat="1" ht="13.2" x14ac:dyDescent="0.25">
      <c r="A5" s="139">
        <f t="shared" ref="A5:A7" si="1">MIN(F5:K5)</f>
        <v>2.1882123613106277</v>
      </c>
      <c r="B5" s="139">
        <f t="shared" ref="B5:B7" si="2">MAX(F5:K5)</f>
        <v>39.235730450743596</v>
      </c>
      <c r="C5" s="155">
        <f t="shared" ref="C5:C7" si="3">AVERAGEIF(F5:K5,"&gt;0")</f>
        <v>19.458288875860969</v>
      </c>
      <c r="D5" s="156">
        <f t="shared" ref="D5:D7" si="4">_xlfn.AGGREGATE(12,6,F5:K5)</f>
        <v>18.810062953502651</v>
      </c>
      <c r="E5" s="47" t="s">
        <v>363</v>
      </c>
      <c r="F5" s="71">
        <f t="shared" ref="F5:K5" si="5">SUM(F9:F12)/F14</f>
        <v>2.1882123613106277</v>
      </c>
      <c r="G5" s="71">
        <f t="shared" si="5"/>
        <v>12.19090436204206</v>
      </c>
      <c r="H5" s="71">
        <f t="shared" si="5"/>
        <v>39.235730450743596</v>
      </c>
      <c r="I5" s="71">
        <f t="shared" si="5"/>
        <v>23.874304959917829</v>
      </c>
      <c r="J5" s="71">
        <f t="shared" si="5"/>
        <v>25.514760174064204</v>
      </c>
      <c r="K5" s="71">
        <f t="shared" si="5"/>
        <v>13.745820947087475</v>
      </c>
    </row>
    <row r="6" spans="1:11" s="43" customFormat="1" ht="13.2" x14ac:dyDescent="0.25">
      <c r="A6" s="139">
        <f t="shared" si="1"/>
        <v>2.1882123613106277</v>
      </c>
      <c r="B6" s="139">
        <f t="shared" si="2"/>
        <v>39.235730450743596</v>
      </c>
      <c r="C6" s="155">
        <f t="shared" si="3"/>
        <v>19.458288875860969</v>
      </c>
      <c r="D6" s="156">
        <f t="shared" si="4"/>
        <v>18.810062953502651</v>
      </c>
      <c r="E6" s="47" t="s">
        <v>365</v>
      </c>
      <c r="F6" s="71">
        <f t="shared" ref="F6:K6" si="6">SUM(F10:F11)/F14</f>
        <v>2.1882123613106277</v>
      </c>
      <c r="G6" s="71">
        <f t="shared" si="6"/>
        <v>12.19090436204206</v>
      </c>
      <c r="H6" s="71">
        <f t="shared" si="6"/>
        <v>39.235730450743596</v>
      </c>
      <c r="I6" s="71">
        <f t="shared" si="6"/>
        <v>23.874304959917829</v>
      </c>
      <c r="J6" s="71">
        <f t="shared" si="6"/>
        <v>25.514760174064204</v>
      </c>
      <c r="K6" s="71">
        <f t="shared" si="6"/>
        <v>13.745820947087475</v>
      </c>
    </row>
    <row r="7" spans="1:11" s="43" customFormat="1" ht="13.8" thickBot="1" x14ac:dyDescent="0.3">
      <c r="A7" s="139">
        <f t="shared" si="1"/>
        <v>1.8663402646262488</v>
      </c>
      <c r="B7" s="139">
        <f t="shared" si="2"/>
        <v>38.755232776421998</v>
      </c>
      <c r="C7" s="155">
        <f t="shared" si="3"/>
        <v>18.981523519482607</v>
      </c>
      <c r="D7" s="156">
        <f t="shared" si="4"/>
        <v>18.1737842731002</v>
      </c>
      <c r="E7" s="49" t="s">
        <v>366</v>
      </c>
      <c r="F7" s="73">
        <f t="shared" ref="F7:K7" si="7">F11/F14</f>
        <v>1.8663402646262488</v>
      </c>
      <c r="G7" s="73">
        <f t="shared" si="7"/>
        <v>11.471766992721458</v>
      </c>
      <c r="H7" s="73">
        <f t="shared" si="7"/>
        <v>38.755232776421998</v>
      </c>
      <c r="I7" s="73">
        <f t="shared" si="7"/>
        <v>23.375423836883286</v>
      </c>
      <c r="J7" s="73">
        <f t="shared" si="7"/>
        <v>25.448232536925534</v>
      </c>
      <c r="K7" s="73">
        <f t="shared" si="7"/>
        <v>12.972144709317115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46074.23</v>
      </c>
      <c r="G10" s="76">
        <f t="shared" si="8"/>
        <v>9193.56</v>
      </c>
      <c r="H10" s="76">
        <f t="shared" si="8"/>
        <v>1842.92</v>
      </c>
      <c r="I10" s="76">
        <f t="shared" si="8"/>
        <v>2855.84</v>
      </c>
      <c r="J10" s="76">
        <f t="shared" si="8"/>
        <v>231.92</v>
      </c>
      <c r="K10" s="76">
        <f t="shared" si="8"/>
        <v>2037.84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267156.40000000002</v>
      </c>
      <c r="G11" s="76">
        <f t="shared" si="8"/>
        <v>146656.79</v>
      </c>
      <c r="H11" s="76">
        <f t="shared" si="8"/>
        <v>148643.37</v>
      </c>
      <c r="I11" s="76">
        <f t="shared" si="8"/>
        <v>133812.38</v>
      </c>
      <c r="J11" s="76">
        <f t="shared" si="8"/>
        <v>88714.32</v>
      </c>
      <c r="K11" s="76">
        <f t="shared" si="8"/>
        <v>34168.239999999998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43">
        <f>F128</f>
        <v>4299</v>
      </c>
      <c r="G13" s="43">
        <f t="shared" ref="G13:K13" si="9">G128</f>
        <v>4509.26</v>
      </c>
      <c r="H13" s="43">
        <f t="shared" si="9"/>
        <v>3592.21</v>
      </c>
      <c r="I13" s="43">
        <f t="shared" si="9"/>
        <v>4869.18</v>
      </c>
      <c r="J13" s="43">
        <f t="shared" si="9"/>
        <v>0</v>
      </c>
      <c r="K13" s="43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143144.53</v>
      </c>
      <c r="G14" s="76">
        <f t="shared" ref="G14:K15" si="10">G130</f>
        <v>12784.15</v>
      </c>
      <c r="H14" s="76">
        <f t="shared" si="10"/>
        <v>3835.44</v>
      </c>
      <c r="I14" s="76">
        <f t="shared" si="10"/>
        <v>5724.49</v>
      </c>
      <c r="J14" s="76">
        <f t="shared" si="10"/>
        <v>3486.07</v>
      </c>
      <c r="K14" s="76">
        <f t="shared" si="10"/>
        <v>2633.97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282606.43</v>
      </c>
      <c r="G15" s="76">
        <f t="shared" si="10"/>
        <v>213016.72</v>
      </c>
      <c r="H15" s="76">
        <f t="shared" si="10"/>
        <v>249518.3</v>
      </c>
      <c r="I15" s="76">
        <f t="shared" si="10"/>
        <v>365000.94</v>
      </c>
      <c r="J15" s="76">
        <f t="shared" si="10"/>
        <v>364229.8</v>
      </c>
      <c r="K15" s="76">
        <f t="shared" si="10"/>
        <v>377390.4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0.27940312135721102</v>
      </c>
      <c r="B19" s="152">
        <f t="shared" ref="B19:B25" si="12">MAX(F19:K19)</f>
        <v>23.50932425308406</v>
      </c>
      <c r="C19" s="156">
        <f>AVERAGE(F19:K19)</f>
        <v>6.3002167013615393</v>
      </c>
      <c r="D19" s="156">
        <f>MEDIAN(F19:K19)</f>
        <v>3.3771986246845591</v>
      </c>
      <c r="E19" s="47" t="s">
        <v>293</v>
      </c>
      <c r="F19" s="71">
        <f>F28/(F27/365)</f>
        <v>23.50932425308406</v>
      </c>
      <c r="G19" s="71">
        <f t="shared" ref="G19:K19" si="13">G28/(G27/365)</f>
        <v>5.6775489659817184</v>
      </c>
      <c r="H19" s="71">
        <f t="shared" si="13"/>
        <v>1.5806266183771298</v>
      </c>
      <c r="I19" s="71">
        <f t="shared" si="13"/>
        <v>3.869347095544196</v>
      </c>
      <c r="J19" s="71">
        <f t="shared" si="13"/>
        <v>0.27940312135721102</v>
      </c>
      <c r="K19" s="71">
        <f t="shared" si="13"/>
        <v>2.8850501538249218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3.2895614335882071</v>
      </c>
      <c r="B21" s="152">
        <f t="shared" si="12"/>
        <v>73.039336106654815</v>
      </c>
      <c r="C21" s="156">
        <f t="shared" si="14"/>
        <v>16.651451924480412</v>
      </c>
      <c r="D21" s="156">
        <f t="shared" si="15"/>
        <v>5.9779277988603354</v>
      </c>
      <c r="E21" s="47" t="s">
        <v>368</v>
      </c>
      <c r="F21" s="71">
        <f>F30/(F27/365)</f>
        <v>73.039336106654815</v>
      </c>
      <c r="G21" s="71">
        <f t="shared" ref="G21:K21" si="17">G30/(G27/365)</f>
        <v>7.8949435924119911</v>
      </c>
      <c r="H21" s="71">
        <f t="shared" si="17"/>
        <v>3.2895614335882071</v>
      </c>
      <c r="I21" s="71">
        <f t="shared" si="17"/>
        <v>7.7560503231875009</v>
      </c>
      <c r="J21" s="71">
        <f t="shared" si="17"/>
        <v>4.1998052745331691</v>
      </c>
      <c r="K21" s="71">
        <f t="shared" si="17"/>
        <v>3.729014816506806</v>
      </c>
    </row>
    <row r="22" spans="1:11" s="43" customFormat="1" ht="13.2" x14ac:dyDescent="0.25">
      <c r="A22" s="152">
        <f t="shared" si="11"/>
        <v>-49.530011853570755</v>
      </c>
      <c r="B22" s="152">
        <f t="shared" si="12"/>
        <v>-0.84396466268188419</v>
      </c>
      <c r="C22" s="156">
        <f t="shared" si="14"/>
        <v>-10.351235223118875</v>
      </c>
      <c r="D22" s="156">
        <f t="shared" si="15"/>
        <v>-3.0520489270367888</v>
      </c>
      <c r="E22" s="47" t="s">
        <v>294</v>
      </c>
      <c r="F22" s="71">
        <f>F19+F20-F21</f>
        <v>-49.530011853570755</v>
      </c>
      <c r="G22" s="71">
        <f t="shared" ref="G22:K22" si="18">G19+G20-G21</f>
        <v>-2.2173946264302726</v>
      </c>
      <c r="H22" s="71">
        <f t="shared" si="18"/>
        <v>-1.7089348152110773</v>
      </c>
      <c r="I22" s="71">
        <f t="shared" si="18"/>
        <v>-3.8867032276433049</v>
      </c>
      <c r="J22" s="71">
        <f t="shared" si="18"/>
        <v>-3.9204021531759583</v>
      </c>
      <c r="K22" s="71">
        <f t="shared" si="18"/>
        <v>-0.84396466268188419</v>
      </c>
    </row>
    <row r="23" spans="1:11" s="43" customFormat="1" ht="13.2" x14ac:dyDescent="0.25">
      <c r="A23" s="152">
        <f t="shared" si="11"/>
        <v>0.13378893251345889</v>
      </c>
      <c r="B23" s="152">
        <f t="shared" si="12"/>
        <v>0.3619033930779661</v>
      </c>
      <c r="C23" s="156">
        <f t="shared" si="14"/>
        <v>0.22778377815022108</v>
      </c>
      <c r="D23" s="156">
        <f t="shared" si="15"/>
        <v>0.19280235723775233</v>
      </c>
      <c r="E23" s="47" t="s">
        <v>295</v>
      </c>
      <c r="F23" s="71">
        <f>F27/F31</f>
        <v>0.3619033930779661</v>
      </c>
      <c r="G23" s="71">
        <f t="shared" ref="G23:K23" si="19">G27/G31</f>
        <v>0.34361936535509358</v>
      </c>
      <c r="H23" s="71">
        <f t="shared" si="19"/>
        <v>0.22684261978367373</v>
      </c>
      <c r="I23" s="71">
        <f t="shared" si="19"/>
        <v>0.13378893251345889</v>
      </c>
      <c r="J23" s="71">
        <f t="shared" si="19"/>
        <v>0.15876209469183092</v>
      </c>
      <c r="K23" s="71">
        <f t="shared" si="19"/>
        <v>0.14178626347930334</v>
      </c>
    </row>
    <row r="24" spans="1:11" s="43" customFormat="1" ht="13.2" x14ac:dyDescent="0.25">
      <c r="A24" s="152">
        <f t="shared" si="11"/>
        <v>0.14353083771167832</v>
      </c>
      <c r="B24" s="152">
        <f t="shared" si="12"/>
        <v>0.43005387658263761</v>
      </c>
      <c r="C24" s="156">
        <f t="shared" si="14"/>
        <v>0.25154285650790281</v>
      </c>
      <c r="D24" s="156">
        <f t="shared" si="15"/>
        <v>0.20657459132500461</v>
      </c>
      <c r="E24" s="121" t="s">
        <v>369</v>
      </c>
      <c r="F24" s="71">
        <f>F27/F32</f>
        <v>0.43005387658263761</v>
      </c>
      <c r="G24" s="71">
        <f t="shared" ref="G24:K24" si="20">G27/G32</f>
        <v>0.3778564314518465</v>
      </c>
      <c r="H24" s="71">
        <f t="shared" si="20"/>
        <v>0.24662549954565685</v>
      </c>
      <c r="I24" s="71">
        <f t="shared" si="20"/>
        <v>0.14353083771167832</v>
      </c>
      <c r="J24" s="71">
        <f t="shared" si="20"/>
        <v>0.16652368310435234</v>
      </c>
      <c r="K24" s="71">
        <f t="shared" si="20"/>
        <v>0.14466681065124518</v>
      </c>
    </row>
    <row r="25" spans="1:11" s="43" customFormat="1" ht="13.8" thickBot="1" x14ac:dyDescent="0.3">
      <c r="A25" s="152">
        <f t="shared" si="11"/>
        <v>1.9711583278102254</v>
      </c>
      <c r="B25" s="152">
        <f t="shared" si="12"/>
        <v>7.120788276444177</v>
      </c>
      <c r="C25" s="156">
        <f t="shared" si="14"/>
        <v>3.567034524791143</v>
      </c>
      <c r="D25" s="156">
        <f t="shared" si="15"/>
        <v>3.1170876751463998</v>
      </c>
      <c r="E25" s="49" t="s">
        <v>296</v>
      </c>
      <c r="F25" s="73">
        <f>F27/F33</f>
        <v>2.2837395883027152</v>
      </c>
      <c r="G25" s="73">
        <f t="shared" ref="G25:K25" si="21">G27/G33</f>
        <v>3.7923456058969389</v>
      </c>
      <c r="H25" s="73">
        <f t="shared" si="21"/>
        <v>2.82795907853134</v>
      </c>
      <c r="I25" s="73">
        <f t="shared" si="21"/>
        <v>1.9711583278102254</v>
      </c>
      <c r="J25" s="73">
        <f t="shared" si="21"/>
        <v>3.4062162717614592</v>
      </c>
      <c r="K25" s="73">
        <f t="shared" si="21"/>
        <v>7.120788276444177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715337.19000000006</v>
      </c>
      <c r="G27" s="76">
        <f t="shared" ref="G27:K27" si="22">G93+G86</f>
        <v>591038.39</v>
      </c>
      <c r="H27" s="76">
        <f t="shared" si="22"/>
        <v>425569.07</v>
      </c>
      <c r="I27" s="76">
        <f t="shared" si="22"/>
        <v>269394.7</v>
      </c>
      <c r="J27" s="76">
        <f t="shared" si="22"/>
        <v>302970.13</v>
      </c>
      <c r="K27" s="76">
        <f t="shared" si="22"/>
        <v>257815.83000000002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46074.23</v>
      </c>
      <c r="G28" s="76">
        <f t="shared" ref="G28:K28" si="23">G116</f>
        <v>9193.56</v>
      </c>
      <c r="H28" s="76">
        <f t="shared" si="23"/>
        <v>1842.92</v>
      </c>
      <c r="I28" s="76">
        <f t="shared" si="23"/>
        <v>2855.84</v>
      </c>
      <c r="J28" s="76">
        <f t="shared" si="23"/>
        <v>231.92</v>
      </c>
      <c r="K28" s="76">
        <f t="shared" si="23"/>
        <v>2037.84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143144.53</v>
      </c>
      <c r="G30" s="76">
        <f t="shared" ref="G30:K30" si="25">G130</f>
        <v>12784.15</v>
      </c>
      <c r="H30" s="76">
        <f t="shared" si="25"/>
        <v>3835.44</v>
      </c>
      <c r="I30" s="76">
        <f t="shared" si="25"/>
        <v>5724.49</v>
      </c>
      <c r="J30" s="76">
        <f t="shared" si="25"/>
        <v>3486.07</v>
      </c>
      <c r="K30" s="76">
        <f t="shared" si="25"/>
        <v>2633.97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1976597.08</v>
      </c>
      <c r="G31" s="76">
        <f t="shared" ref="G31:K31" si="26">G120</f>
        <v>1720038.07</v>
      </c>
      <c r="H31" s="76">
        <f t="shared" si="26"/>
        <v>1876054.29</v>
      </c>
      <c r="I31" s="76">
        <f t="shared" si="26"/>
        <v>2013579.86</v>
      </c>
      <c r="J31" s="76">
        <f t="shared" si="26"/>
        <v>1908327.87</v>
      </c>
      <c r="K31" s="76">
        <f t="shared" si="26"/>
        <v>1818341.38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1663366.45</v>
      </c>
      <c r="G32" s="76">
        <f t="shared" ref="G32:K32" si="27">G108</f>
        <v>1564187.72</v>
      </c>
      <c r="H32" s="76">
        <f t="shared" si="27"/>
        <v>1725568</v>
      </c>
      <c r="I32" s="76">
        <f t="shared" si="27"/>
        <v>1876911.64</v>
      </c>
      <c r="J32" s="76">
        <f t="shared" si="27"/>
        <v>1819381.63</v>
      </c>
      <c r="K32" s="76">
        <f t="shared" si="27"/>
        <v>1782135.3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313230.63</v>
      </c>
      <c r="G33" s="76">
        <f t="shared" ref="G33:K33" si="28">G114</f>
        <v>155850.35</v>
      </c>
      <c r="H33" s="76">
        <f t="shared" si="28"/>
        <v>150486.29</v>
      </c>
      <c r="I33" s="76">
        <f t="shared" si="28"/>
        <v>136668.22</v>
      </c>
      <c r="J33" s="76">
        <f t="shared" si="28"/>
        <v>88946.240000000005</v>
      </c>
      <c r="K33" s="76">
        <f t="shared" si="28"/>
        <v>36206.080000000002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0.14907987550829352</v>
      </c>
      <c r="B37" s="139">
        <f t="shared" ref="B37:B41" si="30">MAX(F37:K37)</f>
        <v>0.19761937973478319</v>
      </c>
      <c r="C37" s="160">
        <f t="shared" ref="C37:C41" si="31">AVERAGE(F37:K37)</f>
        <v>0.17744922377373742</v>
      </c>
      <c r="D37" s="160">
        <f t="shared" ref="D37:D41" si="32">MEDIAN(F37:K37)</f>
        <v>0.17874470233354015</v>
      </c>
      <c r="E37" s="47" t="s">
        <v>370</v>
      </c>
      <c r="F37" s="119">
        <f>F43/F44*100%</f>
        <v>0.19638804181578576</v>
      </c>
      <c r="G37" s="119">
        <f t="shared" ref="G37:K37" si="33">G43/G44*100%</f>
        <v>0.16436534454147286</v>
      </c>
      <c r="H37" s="119">
        <f t="shared" si="33"/>
        <v>0.14907987550829352</v>
      </c>
      <c r="I37" s="119">
        <f t="shared" si="33"/>
        <v>0.16411864091648193</v>
      </c>
      <c r="J37" s="119">
        <f t="shared" si="33"/>
        <v>0.19761937973478319</v>
      </c>
      <c r="K37" s="119">
        <f t="shared" si="33"/>
        <v>0.19312406012560743</v>
      </c>
    </row>
    <row r="38" spans="1:11" s="43" customFormat="1" ht="13.2" x14ac:dyDescent="0.25">
      <c r="A38" s="139">
        <f t="shared" si="29"/>
        <v>0.20821103650201214</v>
      </c>
      <c r="B38" s="139">
        <f t="shared" si="30"/>
        <v>0.32316237144652993</v>
      </c>
      <c r="C38" s="155">
        <f t="shared" si="31"/>
        <v>0.27254550133999289</v>
      </c>
      <c r="D38" s="156">
        <f t="shared" si="32"/>
        <v>0.27494711683803752</v>
      </c>
      <c r="E38" s="50" t="s">
        <v>298</v>
      </c>
      <c r="F38" s="122">
        <f>F43/F45</f>
        <v>0.29825321882258721</v>
      </c>
      <c r="G38" s="122">
        <f t="shared" ref="G38:K38" si="34">G43/G45</f>
        <v>0.23177180139023743</v>
      </c>
      <c r="H38" s="122">
        <f t="shared" si="34"/>
        <v>0.20821103650201214</v>
      </c>
      <c r="I38" s="122">
        <f t="shared" si="34"/>
        <v>0.25164101485348778</v>
      </c>
      <c r="J38" s="122">
        <f t="shared" si="34"/>
        <v>0.32316237144652993</v>
      </c>
      <c r="K38" s="122">
        <f t="shared" si="34"/>
        <v>0.32223356502510292</v>
      </c>
    </row>
    <row r="39" spans="1:11" s="43" customFormat="1" ht="13.2" x14ac:dyDescent="0.25">
      <c r="A39" s="139">
        <f t="shared" si="29"/>
        <v>1.3966407993842809</v>
      </c>
      <c r="B39" s="139">
        <f t="shared" si="30"/>
        <v>1.6685314342269058</v>
      </c>
      <c r="C39" s="155">
        <f t="shared" si="31"/>
        <v>1.5270884914961622</v>
      </c>
      <c r="D39" s="156">
        <f t="shared" si="32"/>
        <v>1.52599030003101</v>
      </c>
      <c r="E39" s="50" t="s">
        <v>299</v>
      </c>
      <c r="F39" s="122">
        <f>F44/F45</f>
        <v>1.5186933790110917</v>
      </c>
      <c r="G39" s="122">
        <f t="shared" ref="G39:K39" si="35">G44/G45</f>
        <v>1.4101013935559663</v>
      </c>
      <c r="H39" s="122">
        <f t="shared" si="35"/>
        <v>1.3966407993842809</v>
      </c>
      <c r="I39" s="122">
        <f t="shared" si="35"/>
        <v>1.5332872210509283</v>
      </c>
      <c r="J39" s="122">
        <f t="shared" si="35"/>
        <v>1.6352767217478004</v>
      </c>
      <c r="K39" s="122">
        <f t="shared" si="35"/>
        <v>1.6685314342269058</v>
      </c>
    </row>
    <row r="40" spans="1:11" s="43" customFormat="1" ht="13.2" x14ac:dyDescent="0.25">
      <c r="A40" s="139">
        <f t="shared" si="29"/>
        <v>0.12396836081534633</v>
      </c>
      <c r="B40" s="139">
        <f t="shared" si="30"/>
        <v>0.19579261293291284</v>
      </c>
      <c r="C40" s="160">
        <f t="shared" si="31"/>
        <v>0.16278008292503068</v>
      </c>
      <c r="D40" s="160">
        <f t="shared" si="32"/>
        <v>0.15910428149610234</v>
      </c>
      <c r="E40" s="77" t="s">
        <v>371</v>
      </c>
      <c r="F40" s="119">
        <f>F46/F44*100%</f>
        <v>0.12396836081534633</v>
      </c>
      <c r="G40" s="119">
        <f t="shared" ref="G40:K40" si="36">G46/G44*100%</f>
        <v>0.15693286370109238</v>
      </c>
      <c r="H40" s="119">
        <f t="shared" si="36"/>
        <v>0.14703545706025384</v>
      </c>
      <c r="I40" s="119">
        <f t="shared" si="36"/>
        <v>0.1612756992911123</v>
      </c>
      <c r="J40" s="119">
        <f t="shared" si="36"/>
        <v>0.19579261293291284</v>
      </c>
      <c r="K40" s="119">
        <f t="shared" si="36"/>
        <v>0.19167550374946646</v>
      </c>
    </row>
    <row r="41" spans="1:11" s="43" customFormat="1" ht="13.8" thickBot="1" x14ac:dyDescent="0.3">
      <c r="A41" s="139">
        <f t="shared" si="29"/>
        <v>-2.670299288397695</v>
      </c>
      <c r="B41" s="139">
        <f t="shared" si="30"/>
        <v>8.1163397045615753</v>
      </c>
      <c r="C41" s="155">
        <f t="shared" si="31"/>
        <v>3.2217014283208898</v>
      </c>
      <c r="D41" s="156">
        <f t="shared" si="32"/>
        <v>3.6785332343065242</v>
      </c>
      <c r="E41" s="51" t="s">
        <v>300</v>
      </c>
      <c r="F41" s="123">
        <f>(F47+F48)/F48</f>
        <v>3.6625275183166082</v>
      </c>
      <c r="G41" s="123">
        <f t="shared" ref="G41:K41" si="37">(G47+G48)/G48</f>
        <v>-2.670299288397695</v>
      </c>
      <c r="H41" s="123">
        <f t="shared" si="37"/>
        <v>2.7715228778690286</v>
      </c>
      <c r="I41" s="123">
        <f t="shared" si="37"/>
        <v>8.1163397045615753</v>
      </c>
      <c r="J41" s="123">
        <f t="shared" si="37"/>
        <v>3.7555788072793845</v>
      </c>
      <c r="K41" s="123">
        <f t="shared" si="37"/>
        <v>3.6945389502964399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388180.03</v>
      </c>
      <c r="G43" s="76">
        <f t="shared" ref="G43:K43" si="38">G129+G130</f>
        <v>282714.65000000002</v>
      </c>
      <c r="H43" s="76">
        <f t="shared" si="38"/>
        <v>279681.94</v>
      </c>
      <c r="I43" s="76">
        <f t="shared" si="38"/>
        <v>330465.99</v>
      </c>
      <c r="J43" s="76">
        <f t="shared" si="38"/>
        <v>377122.57</v>
      </c>
      <c r="K43" s="76">
        <f t="shared" si="38"/>
        <v>351165.47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1976597.08</v>
      </c>
      <c r="G44" s="76">
        <f t="shared" ref="G44:K44" si="39">G120</f>
        <v>1720038.07</v>
      </c>
      <c r="H44" s="76">
        <f t="shared" si="39"/>
        <v>1876054.29</v>
      </c>
      <c r="I44" s="76">
        <f t="shared" si="39"/>
        <v>2013579.86</v>
      </c>
      <c r="J44" s="76">
        <f t="shared" si="39"/>
        <v>1908327.87</v>
      </c>
      <c r="K44" s="76">
        <f t="shared" si="39"/>
        <v>1818341.38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1301511.6200000001</v>
      </c>
      <c r="G45" s="76">
        <f t="shared" ref="G45:K45" si="40">G122</f>
        <v>1219797.44</v>
      </c>
      <c r="H45" s="76">
        <f t="shared" si="40"/>
        <v>1343261.84</v>
      </c>
      <c r="I45" s="76">
        <f t="shared" si="40"/>
        <v>1313243.75</v>
      </c>
      <c r="J45" s="76">
        <f t="shared" si="40"/>
        <v>1166975.5</v>
      </c>
      <c r="K45" s="76">
        <f t="shared" si="40"/>
        <v>1089785.51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245035.5</v>
      </c>
      <c r="G46" s="43">
        <f t="shared" ref="G46:K46" si="41">G129</f>
        <v>269930.5</v>
      </c>
      <c r="H46" s="43">
        <f t="shared" si="41"/>
        <v>275846.5</v>
      </c>
      <c r="I46" s="43">
        <f t="shared" si="41"/>
        <v>324741.5</v>
      </c>
      <c r="J46" s="43">
        <f t="shared" si="41"/>
        <v>373636.5</v>
      </c>
      <c r="K46" s="43">
        <f t="shared" si="41"/>
        <v>348531.5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76678.13</v>
      </c>
      <c r="G47" s="76">
        <f t="shared" ref="G47:K47" si="42">G102</f>
        <v>-102485.4</v>
      </c>
      <c r="H47" s="76">
        <f t="shared" si="42"/>
        <v>30018.03</v>
      </c>
      <c r="I47" s="76">
        <f t="shared" si="42"/>
        <v>146268.25</v>
      </c>
      <c r="J47" s="76">
        <f t="shared" si="42"/>
        <v>77189.990000000005</v>
      </c>
      <c r="K47" s="76">
        <f t="shared" si="42"/>
        <v>79239.25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28799</v>
      </c>
      <c r="G48" s="76">
        <f t="shared" ref="G48:K48" si="43">G101</f>
        <v>27922.9</v>
      </c>
      <c r="H48" s="76">
        <f t="shared" si="43"/>
        <v>16944.759999999998</v>
      </c>
      <c r="I48" s="76">
        <f t="shared" si="43"/>
        <v>20553.86</v>
      </c>
      <c r="J48" s="76">
        <f t="shared" si="43"/>
        <v>28012.26</v>
      </c>
      <c r="K48" s="76">
        <f t="shared" si="43"/>
        <v>29407.35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-0.90301175459364602</v>
      </c>
      <c r="B52" s="139">
        <f t="shared" ref="B52:B63" si="45">MAX(F52:K52)</f>
        <v>0.35660361708329363</v>
      </c>
      <c r="C52" s="160">
        <f t="shared" ref="C52:C63" si="46">AVERAGE(F52:K52)</f>
        <v>-8.8010297545372082E-2</v>
      </c>
      <c r="D52" s="160">
        <f t="shared" ref="D52:D63" si="47">MEDIAN(F52:K52)</f>
        <v>3.7198620075165278E-2</v>
      </c>
      <c r="E52" s="50" t="s">
        <v>350</v>
      </c>
      <c r="F52" s="119">
        <f t="shared" ref="F52:K52" si="48">(F65/(F70+F71))*100%</f>
        <v>-2.9702463971001142E-2</v>
      </c>
      <c r="G52" s="119">
        <f t="shared" si="48"/>
        <v>0.1040997041213317</v>
      </c>
      <c r="H52" s="119">
        <f t="shared" si="48"/>
        <v>-0.30974594655641019</v>
      </c>
      <c r="I52" s="119">
        <f t="shared" si="48"/>
        <v>0.25369505864419956</v>
      </c>
      <c r="J52" s="119">
        <f t="shared" si="48"/>
        <v>0.35660361708329363</v>
      </c>
      <c r="K52" s="120">
        <f t="shared" si="48"/>
        <v>-0.90301175459364602</v>
      </c>
    </row>
    <row r="53" spans="1:11" s="43" customFormat="1" ht="13.2" x14ac:dyDescent="0.25">
      <c r="A53" s="139">
        <f t="shared" si="44"/>
        <v>-0.17929514645974146</v>
      </c>
      <c r="B53" s="139">
        <f t="shared" si="45"/>
        <v>1</v>
      </c>
      <c r="C53" s="160">
        <f t="shared" si="46"/>
        <v>0.2355760594523082</v>
      </c>
      <c r="D53" s="160">
        <f t="shared" si="47"/>
        <v>0.16694538814896057</v>
      </c>
      <c r="E53" s="50" t="s">
        <v>351</v>
      </c>
      <c r="F53" s="119">
        <f>(F66/F70)*100%</f>
        <v>0.21308217349526129</v>
      </c>
      <c r="G53" s="119">
        <f t="shared" ref="G53:K53" si="49">(G66/G70)*100%</f>
        <v>0.12080860280265983</v>
      </c>
      <c r="H53" s="119">
        <f t="shared" si="49"/>
        <v>-0.17929514645974146</v>
      </c>
      <c r="I53" s="119">
        <f t="shared" si="49"/>
        <v>0.4216266277434077</v>
      </c>
      <c r="J53" s="119">
        <f t="shared" si="49"/>
        <v>-0.16276590086773837</v>
      </c>
      <c r="K53" s="120">
        <f t="shared" si="49"/>
        <v>1</v>
      </c>
    </row>
    <row r="54" spans="1:11" s="43" customFormat="1" ht="13.2" x14ac:dyDescent="0.25">
      <c r="A54" s="139">
        <f>MIN(F54:K54)</f>
        <v>-43.542972178455159</v>
      </c>
      <c r="B54" s="139">
        <f t="shared" si="45"/>
        <v>4.3059641344382338E-2</v>
      </c>
      <c r="C54" s="160">
        <f t="shared" si="46"/>
        <v>-7.2611540835300197</v>
      </c>
      <c r="D54" s="160">
        <f t="shared" si="47"/>
        <v>-1.7722450551038934E-2</v>
      </c>
      <c r="E54" s="50" t="s">
        <v>342</v>
      </c>
      <c r="F54" s="119">
        <f>(F67/SUM(F72:F74))*100%</f>
        <v>-3.4967357843312015E-2</v>
      </c>
      <c r="G54" s="119">
        <f t="shared" ref="G54:K54" si="50">(G67/SUM(G72:G74))*100%</f>
        <v>-4.7754325876585068E-4</v>
      </c>
      <c r="H54" s="119">
        <f t="shared" si="50"/>
        <v>-3.6319757144765458E-2</v>
      </c>
      <c r="I54" s="119">
        <f t="shared" si="50"/>
        <v>4.7526941775051443E-3</v>
      </c>
      <c r="J54" s="119">
        <f t="shared" si="50"/>
        <v>4.3059641344382338E-2</v>
      </c>
      <c r="K54" s="120">
        <f t="shared" si="50"/>
        <v>-43.542972178455159</v>
      </c>
    </row>
    <row r="55" spans="1:11" s="43" customFormat="1" ht="13.2" x14ac:dyDescent="0.25">
      <c r="A55" s="139">
        <f t="shared" si="44"/>
        <v>-3.8074488856014777E-2</v>
      </c>
      <c r="B55" s="139">
        <f t="shared" si="45"/>
        <v>1.2600844497826473</v>
      </c>
      <c r="C55" s="160">
        <f t="shared" si="46"/>
        <v>0.24541694368921307</v>
      </c>
      <c r="D55" s="160">
        <f t="shared" si="47"/>
        <v>0</v>
      </c>
      <c r="E55" s="50" t="s">
        <v>343</v>
      </c>
      <c r="F55" s="119">
        <f>((F72-F76)/F76)*100%</f>
        <v>-3.8074488856014777E-2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5.0747575194328423E-3</v>
      </c>
      <c r="J55" s="119">
        <f t="shared" si="51"/>
        <v>1.2600844497826473</v>
      </c>
      <c r="K55" s="178"/>
    </row>
    <row r="56" spans="1:11" s="43" customFormat="1" ht="13.2" x14ac:dyDescent="0.25">
      <c r="A56" s="139">
        <f t="shared" si="44"/>
        <v>-9.0733323386169351E-2</v>
      </c>
      <c r="B56" s="139">
        <f t="shared" si="45"/>
        <v>0.37998365956979341</v>
      </c>
      <c r="C56" s="160">
        <f t="shared" si="46"/>
        <v>8.6945488577730975E-2</v>
      </c>
      <c r="D56" s="160">
        <f t="shared" si="47"/>
        <v>0</v>
      </c>
      <c r="E56" s="50" t="s">
        <v>344</v>
      </c>
      <c r="F56" s="119">
        <f>((F73-F77)/F77)*100%</f>
        <v>0.37998365956979341</v>
      </c>
      <c r="G56" s="119">
        <f t="shared" si="51"/>
        <v>0.2324225952827618</v>
      </c>
      <c r="H56" s="119">
        <f t="shared" si="51"/>
        <v>0</v>
      </c>
      <c r="I56" s="119">
        <f t="shared" si="51"/>
        <v>-9.0733323386169351E-2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-1</v>
      </c>
      <c r="B57" s="139">
        <f t="shared" si="45"/>
        <v>0.52879632091287532</v>
      </c>
      <c r="C57" s="160">
        <f t="shared" si="46"/>
        <v>-0.27464064763231105</v>
      </c>
      <c r="D57" s="160">
        <f t="shared" si="47"/>
        <v>-2.340273672408338E-2</v>
      </c>
      <c r="E57" s="50" t="s">
        <v>346</v>
      </c>
      <c r="F57" s="119">
        <f>((F74-F78)/F78)*100%</f>
        <v>0.52879632091287532</v>
      </c>
      <c r="G57" s="119">
        <f t="shared" si="51"/>
        <v>-2.340273672408338E-2</v>
      </c>
      <c r="H57" s="119">
        <f t="shared" si="51"/>
        <v>-0.91177524310398905</v>
      </c>
      <c r="I57" s="177"/>
      <c r="J57" s="119">
        <f t="shared" si="51"/>
        <v>3.3178420753641802E-2</v>
      </c>
      <c r="K57" s="120">
        <f t="shared" si="51"/>
        <v>-1</v>
      </c>
    </row>
    <row r="58" spans="1:11" s="43" customFormat="1" ht="13.2" x14ac:dyDescent="0.25">
      <c r="A58" s="139">
        <f t="shared" si="44"/>
        <v>-2.0530034565123523E-2</v>
      </c>
      <c r="B58" s="139">
        <f t="shared" si="45"/>
        <v>3.5725145937575004E-2</v>
      </c>
      <c r="C58" s="155">
        <f t="shared" si="46"/>
        <v>1.2644041044545048E-2</v>
      </c>
      <c r="D58" s="156">
        <f t="shared" si="47"/>
        <v>1.6489078001087707E-2</v>
      </c>
      <c r="E58" s="50" t="s">
        <v>356</v>
      </c>
      <c r="F58" s="71">
        <f>F68/(F70+F71+F72+F73+F74+F75)</f>
        <v>1.3069327769413693E-2</v>
      </c>
      <c r="G58" s="71">
        <f t="shared" ref="G58:K58" si="52">G68/(G70+G71+G72+G73+G74)</f>
        <v>-2.0530034565123523E-2</v>
      </c>
      <c r="H58" s="71">
        <f t="shared" si="52"/>
        <v>6.752005060422321E-3</v>
      </c>
      <c r="I58" s="71">
        <f t="shared" si="52"/>
        <v>3.5725145937575004E-2</v>
      </c>
      <c r="J58" s="71">
        <f t="shared" si="52"/>
        <v>1.9908828232761723E-2</v>
      </c>
      <c r="K58" s="72">
        <f t="shared" si="52"/>
        <v>2.0938973832221069E-2</v>
      </c>
    </row>
    <row r="59" spans="1:11" s="43" customFormat="1" ht="13.2" x14ac:dyDescent="0.25">
      <c r="A59" s="139">
        <f t="shared" si="44"/>
        <v>-2.0530034236114852E-2</v>
      </c>
      <c r="B59" s="139">
        <f t="shared" si="45"/>
        <v>3.5725145937575004E-2</v>
      </c>
      <c r="C59" s="155">
        <f t="shared" si="46"/>
        <v>1.2644041020364432E-2</v>
      </c>
      <c r="D59" s="156">
        <f t="shared" si="47"/>
        <v>1.6489078001087707E-2</v>
      </c>
      <c r="E59" s="50" t="s">
        <v>361</v>
      </c>
      <c r="F59" s="71">
        <f>F69/(F70+F71+F72+F73+F74+F75)</f>
        <v>1.3069327769413693E-2</v>
      </c>
      <c r="G59" s="71">
        <f t="shared" ref="G59:K59" si="53">G69/(G70+G71+G72+G73+G74+G75)</f>
        <v>-2.0530034236114852E-2</v>
      </c>
      <c r="H59" s="71">
        <f t="shared" si="53"/>
        <v>6.7520048629861719E-3</v>
      </c>
      <c r="I59" s="71">
        <f t="shared" si="53"/>
        <v>3.5725145937575004E-2</v>
      </c>
      <c r="J59" s="71">
        <f t="shared" si="53"/>
        <v>1.9908828232761723E-2</v>
      </c>
      <c r="K59" s="72">
        <f t="shared" si="53"/>
        <v>2.0938973555564854E-2</v>
      </c>
    </row>
    <row r="60" spans="1:11" s="43" customFormat="1" ht="26.4" x14ac:dyDescent="0.25">
      <c r="A60" s="139">
        <f t="shared" si="44"/>
        <v>-1.8383584110042088</v>
      </c>
      <c r="B60" s="139">
        <f t="shared" si="45"/>
        <v>6.2388347487742551E-2</v>
      </c>
      <c r="C60" s="160">
        <f t="shared" si="46"/>
        <v>-0.3011911052447318</v>
      </c>
      <c r="D60" s="160">
        <f t="shared" si="47"/>
        <v>1.3344230842849867E-2</v>
      </c>
      <c r="E60" s="50" t="s">
        <v>372</v>
      </c>
      <c r="F60" s="119">
        <f>F65/F79*100%</f>
        <v>-1.2958695658904848E-2</v>
      </c>
      <c r="G60" s="119">
        <f t="shared" ref="G60:K60" si="54">G65/G79*100%</f>
        <v>3.9647157344604583E-2</v>
      </c>
      <c r="H60" s="119">
        <f t="shared" si="54"/>
        <v>-0.11299300405640181</v>
      </c>
      <c r="I60" s="119">
        <f t="shared" si="54"/>
        <v>6.2388347487742551E-2</v>
      </c>
      <c r="J60" s="119">
        <f t="shared" si="54"/>
        <v>5.5127974418777419E-2</v>
      </c>
      <c r="K60" s="120">
        <f t="shared" si="54"/>
        <v>-1.8383584110042088</v>
      </c>
    </row>
    <row r="61" spans="1:11" s="43" customFormat="1" ht="13.2" x14ac:dyDescent="0.25">
      <c r="A61" s="139">
        <f t="shared" si="44"/>
        <v>-5.9583216085443966E-2</v>
      </c>
      <c r="B61" s="139">
        <f t="shared" si="45"/>
        <v>7.2640898384829886E-2</v>
      </c>
      <c r="C61" s="155">
        <f t="shared" si="46"/>
        <v>2.5313013849100608E-2</v>
      </c>
      <c r="D61" s="156">
        <f t="shared" si="47"/>
        <v>3.9621009296107887E-2</v>
      </c>
      <c r="E61" s="50" t="s">
        <v>373</v>
      </c>
      <c r="F61" s="71">
        <f>F69/F79</f>
        <v>3.8792999734675315E-2</v>
      </c>
      <c r="G61" s="71">
        <f t="shared" ref="G61:K61" si="55">G69/G79</f>
        <v>-5.9583216085443966E-2</v>
      </c>
      <c r="H61" s="71">
        <f t="shared" si="55"/>
        <v>1.6000619043919032E-2</v>
      </c>
      <c r="I61" s="71">
        <f t="shared" si="55"/>
        <v>7.2640898384829886E-2</v>
      </c>
      <c r="J61" s="71">
        <f t="shared" si="55"/>
        <v>4.0449018857540452E-2</v>
      </c>
      <c r="K61" s="72">
        <f t="shared" si="55"/>
        <v>4.3577763159082926E-2</v>
      </c>
    </row>
    <row r="62" spans="1:11" s="43" customFormat="1" ht="13.2" x14ac:dyDescent="0.25">
      <c r="A62" s="139">
        <f t="shared" si="44"/>
        <v>-5.5487513886346977E-2</v>
      </c>
      <c r="B62" s="139">
        <f t="shared" si="45"/>
        <v>0.22902027757737392</v>
      </c>
      <c r="C62" s="155">
        <f t="shared" si="46"/>
        <v>5.5408555269232662E-2</v>
      </c>
      <c r="D62" s="156">
        <f t="shared" si="47"/>
        <v>5.8421025994236958E-2</v>
      </c>
      <c r="E62" s="50" t="s">
        <v>374</v>
      </c>
      <c r="F62" s="71">
        <f>F69/F80</f>
        <v>5.8914671849030438E-2</v>
      </c>
      <c r="G62" s="71">
        <f>G66/G80</f>
        <v>5.7927380139443478E-2</v>
      </c>
      <c r="H62" s="71">
        <f>H66/H80</f>
        <v>-5.5487513886346977E-2</v>
      </c>
      <c r="I62" s="71">
        <f>I66/I80</f>
        <v>8.3223780809922002E-2</v>
      </c>
      <c r="J62" s="71">
        <f>J66/J80</f>
        <v>-4.1147264874026916E-2</v>
      </c>
      <c r="K62" s="72">
        <f>K66/K80</f>
        <v>0.22902027757737392</v>
      </c>
    </row>
    <row r="63" spans="1:11" s="43" customFormat="1" ht="13.8" thickBot="1" x14ac:dyDescent="0.3">
      <c r="A63" s="139">
        <f t="shared" si="44"/>
        <v>-2.3240795643513943</v>
      </c>
      <c r="B63" s="139">
        <f t="shared" si="45"/>
        <v>7.6694170475588838E-2</v>
      </c>
      <c r="C63" s="155">
        <f t="shared" si="46"/>
        <v>-0.38013491543042049</v>
      </c>
      <c r="D63" s="156">
        <f t="shared" si="47"/>
        <v>1.4607213062494715E-2</v>
      </c>
      <c r="E63" s="51" t="s">
        <v>302</v>
      </c>
      <c r="F63" s="73">
        <f t="shared" ref="F63:K63" si="56">F65/(F80+F81)</f>
        <v>-1.6562133586980523E-2</v>
      </c>
      <c r="G63" s="73">
        <f t="shared" si="56"/>
        <v>4.5776559711969957E-2</v>
      </c>
      <c r="H63" s="73">
        <f t="shared" si="56"/>
        <v>-0.13092453714369726</v>
      </c>
      <c r="I63" s="73">
        <f t="shared" si="56"/>
        <v>7.6694170475588838E-2</v>
      </c>
      <c r="J63" s="73">
        <f t="shared" si="56"/>
        <v>6.8286012311990302E-2</v>
      </c>
      <c r="K63" s="74">
        <f t="shared" si="56"/>
        <v>-2.3240795643513943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-25614.12</v>
      </c>
      <c r="G65" s="76">
        <f t="shared" ref="G65:K65" si="57">G97</f>
        <v>68194.62</v>
      </c>
      <c r="H65" s="76">
        <f t="shared" si="57"/>
        <v>-211981.01</v>
      </c>
      <c r="I65" s="76">
        <f t="shared" si="57"/>
        <v>125623.92</v>
      </c>
      <c r="J65" s="76">
        <f t="shared" si="57"/>
        <v>105202.25</v>
      </c>
      <c r="K65" s="76">
        <f t="shared" si="57"/>
        <v>-3342763.17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150284.17000000001</v>
      </c>
      <c r="G66" s="76">
        <f t="shared" ref="G66:K66" si="58">G95</f>
        <v>70659.67</v>
      </c>
      <c r="H66" s="76">
        <f t="shared" si="58"/>
        <v>-74534.259999999995</v>
      </c>
      <c r="I66" s="76">
        <f t="shared" si="58"/>
        <v>109293.11</v>
      </c>
      <c r="J66" s="76">
        <f t="shared" si="58"/>
        <v>-48017.85</v>
      </c>
      <c r="K66" s="76">
        <f t="shared" si="58"/>
        <v>249582.98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-175000.17</v>
      </c>
      <c r="G67" s="76">
        <f t="shared" ref="G67:K67" si="59">G92</f>
        <v>-2071.0500000000002</v>
      </c>
      <c r="H67" s="76">
        <f t="shared" si="59"/>
        <v>-136614.01999999999</v>
      </c>
      <c r="I67" s="76">
        <f t="shared" si="59"/>
        <v>17105.37</v>
      </c>
      <c r="J67" s="76">
        <f t="shared" si="59"/>
        <v>154246.62</v>
      </c>
      <c r="K67" s="76">
        <f t="shared" si="59"/>
        <v>-3592346.15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76678.13</v>
      </c>
      <c r="G68" s="76">
        <f t="shared" ref="G68:K68" si="60">G102</f>
        <v>-102485.4</v>
      </c>
      <c r="H68" s="76">
        <f t="shared" si="60"/>
        <v>30018.03</v>
      </c>
      <c r="I68" s="76">
        <f t="shared" si="60"/>
        <v>146268.25</v>
      </c>
      <c r="J68" s="76">
        <f t="shared" si="60"/>
        <v>77189.990000000005</v>
      </c>
      <c r="K68" s="76">
        <f t="shared" si="60"/>
        <v>79239.25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76678.13</v>
      </c>
      <c r="G69" s="76">
        <f t="shared" ref="G69:K69" si="61">G104</f>
        <v>-102485.4</v>
      </c>
      <c r="H69" s="76">
        <f t="shared" si="61"/>
        <v>30018.03</v>
      </c>
      <c r="I69" s="76">
        <f t="shared" si="61"/>
        <v>146268.25</v>
      </c>
      <c r="J69" s="76">
        <f t="shared" si="61"/>
        <v>77189.990000000005</v>
      </c>
      <c r="K69" s="76">
        <f t="shared" si="61"/>
        <v>79239.25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705287.39</v>
      </c>
      <c r="G70" s="76">
        <f t="shared" ref="G70:K70" si="62">G93</f>
        <v>584889.39</v>
      </c>
      <c r="H70" s="76">
        <f t="shared" si="62"/>
        <v>415707.07</v>
      </c>
      <c r="I70" s="76">
        <f t="shared" si="62"/>
        <v>259217.76</v>
      </c>
      <c r="J70" s="76">
        <f t="shared" si="62"/>
        <v>295011.73</v>
      </c>
      <c r="K70" s="76">
        <f t="shared" si="62"/>
        <v>249582.98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157069.35</v>
      </c>
      <c r="G71" s="76">
        <f t="shared" ref="G71:K71" si="63">G98</f>
        <v>70200.08</v>
      </c>
      <c r="H71" s="76">
        <f t="shared" si="63"/>
        <v>268663.5</v>
      </c>
      <c r="I71" s="76">
        <f t="shared" si="63"/>
        <v>235959.09</v>
      </c>
      <c r="J71" s="76">
        <f t="shared" si="63"/>
        <v>0</v>
      </c>
      <c r="K71" s="76">
        <f t="shared" si="63"/>
        <v>3452210.66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4942926.47</v>
      </c>
      <c r="G72" s="76">
        <f t="shared" ref="G72:K74" si="64">G85</f>
        <v>4195918.75</v>
      </c>
      <c r="H72" s="76">
        <f t="shared" si="64"/>
        <v>3738343.4</v>
      </c>
      <c r="I72" s="76">
        <f t="shared" si="64"/>
        <v>3588912.2</v>
      </c>
      <c r="J72" s="76">
        <f t="shared" si="64"/>
        <v>75116.89</v>
      </c>
      <c r="K72" s="76">
        <f t="shared" si="64"/>
        <v>74268.320000000007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10049.799999999999</v>
      </c>
      <c r="G73" s="76">
        <f t="shared" si="64"/>
        <v>6149</v>
      </c>
      <c r="H73" s="76">
        <f t="shared" si="64"/>
        <v>9862</v>
      </c>
      <c r="I73" s="76">
        <f t="shared" si="64"/>
        <v>10176.94</v>
      </c>
      <c r="J73" s="76">
        <f t="shared" si="64"/>
        <v>7958.4</v>
      </c>
      <c r="K73" s="76">
        <f t="shared" si="64"/>
        <v>8232.85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51696.11</v>
      </c>
      <c r="G74" s="76">
        <f t="shared" si="64"/>
        <v>134816.84</v>
      </c>
      <c r="H74" s="76">
        <f t="shared" si="64"/>
        <v>13218.98</v>
      </c>
      <c r="I74" s="76">
        <f t="shared" si="64"/>
        <v>0</v>
      </c>
      <c r="J74" s="76">
        <f t="shared" si="64"/>
        <v>3499086.92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76">
        <f>F100</f>
        <v>0.26</v>
      </c>
      <c r="G75" s="76">
        <f t="shared" ref="G75:K75" si="65">G100</f>
        <v>0.08</v>
      </c>
      <c r="H75" s="76">
        <f t="shared" si="65"/>
        <v>0.13</v>
      </c>
      <c r="I75" s="76">
        <f t="shared" si="65"/>
        <v>0</v>
      </c>
      <c r="J75" s="76">
        <f t="shared" si="65"/>
        <v>0</v>
      </c>
      <c r="K75" s="76">
        <f t="shared" si="65"/>
        <v>0.05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5138575.09</v>
      </c>
      <c r="G76" s="76">
        <f t="shared" ref="G76:K78" si="66">G89</f>
        <v>4195918.75</v>
      </c>
      <c r="H76" s="76">
        <f t="shared" si="66"/>
        <v>3738343.4</v>
      </c>
      <c r="I76" s="76">
        <f t="shared" si="66"/>
        <v>3570791.3</v>
      </c>
      <c r="J76" s="76">
        <f t="shared" si="66"/>
        <v>33236.32</v>
      </c>
      <c r="K76" s="76">
        <f t="shared" si="66"/>
        <v>0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7282.55</v>
      </c>
      <c r="G77" s="76">
        <f t="shared" si="66"/>
        <v>4989.3599999999997</v>
      </c>
      <c r="H77" s="76">
        <f t="shared" si="66"/>
        <v>9862</v>
      </c>
      <c r="I77" s="76">
        <f t="shared" si="66"/>
        <v>11192.47</v>
      </c>
      <c r="J77" s="76">
        <f t="shared" si="66"/>
        <v>7958.4</v>
      </c>
      <c r="K77" s="76">
        <f t="shared" si="66"/>
        <v>8232.85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33814.910000000003</v>
      </c>
      <c r="G78" s="76">
        <f t="shared" si="66"/>
        <v>138047.53</v>
      </c>
      <c r="H78" s="76">
        <f t="shared" si="66"/>
        <v>149833</v>
      </c>
      <c r="I78" s="76">
        <f t="shared" si="66"/>
        <v>0</v>
      </c>
      <c r="J78" s="76">
        <f t="shared" si="66"/>
        <v>3386720.87</v>
      </c>
      <c r="K78" s="76">
        <f t="shared" si="66"/>
        <v>3666614.47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1976597.08</v>
      </c>
      <c r="G79" s="76">
        <f t="shared" ref="G79:K79" si="67">G120</f>
        <v>1720038.07</v>
      </c>
      <c r="H79" s="76">
        <f t="shared" si="67"/>
        <v>1876054.29</v>
      </c>
      <c r="I79" s="76">
        <f t="shared" si="67"/>
        <v>2013579.86</v>
      </c>
      <c r="J79" s="76">
        <f t="shared" si="67"/>
        <v>1908327.87</v>
      </c>
      <c r="K79" s="76">
        <f t="shared" si="67"/>
        <v>1818341.38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1301511.6200000001</v>
      </c>
      <c r="G80" s="76">
        <f t="shared" ref="G80:K80" si="68">G122</f>
        <v>1219797.44</v>
      </c>
      <c r="H80" s="76">
        <f t="shared" si="68"/>
        <v>1343261.84</v>
      </c>
      <c r="I80" s="76">
        <f t="shared" si="68"/>
        <v>1313243.75</v>
      </c>
      <c r="J80" s="76">
        <f t="shared" si="68"/>
        <v>1166975.5</v>
      </c>
      <c r="K80" s="76">
        <f t="shared" si="68"/>
        <v>1089785.51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245035.5</v>
      </c>
      <c r="G81" s="43">
        <f t="shared" ref="G81:K81" si="69">G129</f>
        <v>269930.5</v>
      </c>
      <c r="H81" s="43">
        <f t="shared" si="69"/>
        <v>275846.5</v>
      </c>
      <c r="I81" s="43">
        <f t="shared" si="69"/>
        <v>324741.5</v>
      </c>
      <c r="J81" s="43">
        <f t="shared" si="69"/>
        <v>373636.5</v>
      </c>
      <c r="K81" s="43">
        <f t="shared" si="69"/>
        <v>348531.5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5004672.38</v>
      </c>
      <c r="G84" s="90">
        <v>4336884.59</v>
      </c>
      <c r="H84" s="90">
        <v>3761424.38</v>
      </c>
      <c r="I84" s="90">
        <v>3599089.14</v>
      </c>
      <c r="J84" s="90">
        <v>3582162.21</v>
      </c>
      <c r="K84" s="90">
        <v>82501.17</v>
      </c>
    </row>
    <row r="85" spans="3:11" x14ac:dyDescent="0.3">
      <c r="E85" s="11" t="s">
        <v>3</v>
      </c>
      <c r="F85" s="91">
        <v>4942926.47</v>
      </c>
      <c r="G85" s="91">
        <v>4195918.75</v>
      </c>
      <c r="H85" s="91">
        <v>3738343.4</v>
      </c>
      <c r="I85" s="91">
        <v>3588912.2</v>
      </c>
      <c r="J85" s="91">
        <v>75116.89</v>
      </c>
      <c r="K85" s="91">
        <v>74268.320000000007</v>
      </c>
    </row>
    <row r="86" spans="3:11" x14ac:dyDescent="0.3">
      <c r="E86" s="11" t="s">
        <v>4</v>
      </c>
      <c r="F86" s="91">
        <v>10049.799999999999</v>
      </c>
      <c r="G86" s="91">
        <v>6149</v>
      </c>
      <c r="H86" s="91">
        <v>9862</v>
      </c>
      <c r="I86" s="91">
        <v>10176.94</v>
      </c>
      <c r="J86" s="91">
        <v>7958.4</v>
      </c>
      <c r="K86" s="91">
        <v>8232.85</v>
      </c>
    </row>
    <row r="87" spans="3:11" x14ac:dyDescent="0.3">
      <c r="E87" s="11" t="s">
        <v>5</v>
      </c>
      <c r="F87" s="91">
        <v>51696.11</v>
      </c>
      <c r="G87" s="91">
        <v>134816.84</v>
      </c>
      <c r="H87" s="91">
        <v>13218.98</v>
      </c>
      <c r="I87" s="116">
        <v>0</v>
      </c>
      <c r="J87" s="91">
        <v>3499086.92</v>
      </c>
      <c r="K87" s="116">
        <v>0</v>
      </c>
    </row>
    <row r="88" spans="3:11" x14ac:dyDescent="0.3">
      <c r="E88" s="11" t="s">
        <v>6</v>
      </c>
      <c r="F88" s="90">
        <v>5179672.55</v>
      </c>
      <c r="G88" s="90">
        <v>4338955.6399999997</v>
      </c>
      <c r="H88" s="90">
        <v>3898038.4</v>
      </c>
      <c r="I88" s="90">
        <v>3581983.77</v>
      </c>
      <c r="J88" s="90">
        <v>3427915.59</v>
      </c>
      <c r="K88" s="90">
        <v>3674847.32</v>
      </c>
    </row>
    <row r="89" spans="3:11" x14ac:dyDescent="0.3">
      <c r="E89" s="11" t="s">
        <v>7</v>
      </c>
      <c r="F89" s="91">
        <v>5138575.09</v>
      </c>
      <c r="G89" s="91">
        <v>4195918.75</v>
      </c>
      <c r="H89" s="91">
        <v>3738343.4</v>
      </c>
      <c r="I89" s="91">
        <v>3570791.3</v>
      </c>
      <c r="J89" s="91">
        <v>33236.32</v>
      </c>
      <c r="K89" s="116">
        <v>0</v>
      </c>
    </row>
    <row r="90" spans="3:11" x14ac:dyDescent="0.3">
      <c r="E90" s="11" t="s">
        <v>8</v>
      </c>
      <c r="F90" s="91">
        <v>7282.55</v>
      </c>
      <c r="G90" s="91">
        <v>4989.3599999999997</v>
      </c>
      <c r="H90" s="91">
        <v>9862</v>
      </c>
      <c r="I90" s="91">
        <v>11192.47</v>
      </c>
      <c r="J90" s="91">
        <v>7958.4</v>
      </c>
      <c r="K90" s="91">
        <v>8232.85</v>
      </c>
    </row>
    <row r="91" spans="3:11" x14ac:dyDescent="0.3">
      <c r="E91" s="11" t="s">
        <v>9</v>
      </c>
      <c r="F91" s="91">
        <v>33814.910000000003</v>
      </c>
      <c r="G91" s="91">
        <v>138047.53</v>
      </c>
      <c r="H91" s="91">
        <v>149833</v>
      </c>
      <c r="I91" s="116">
        <v>0</v>
      </c>
      <c r="J91" s="91">
        <v>3386720.87</v>
      </c>
      <c r="K91" s="91">
        <v>3666614.47</v>
      </c>
    </row>
    <row r="92" spans="3:11" x14ac:dyDescent="0.3">
      <c r="E92" s="11" t="s">
        <v>10</v>
      </c>
      <c r="F92" s="90">
        <v>-175000.17</v>
      </c>
      <c r="G92" s="90">
        <v>-2071.0500000000002</v>
      </c>
      <c r="H92" s="90">
        <v>-136614.01999999999</v>
      </c>
      <c r="I92" s="90">
        <v>17105.37</v>
      </c>
      <c r="J92" s="90">
        <v>154246.62</v>
      </c>
      <c r="K92" s="90">
        <v>-3592346.15</v>
      </c>
    </row>
    <row r="93" spans="3:11" x14ac:dyDescent="0.3">
      <c r="E93" s="11" t="s">
        <v>11</v>
      </c>
      <c r="F93" s="90">
        <v>705287.39</v>
      </c>
      <c r="G93" s="90">
        <v>584889.39</v>
      </c>
      <c r="H93" s="90">
        <v>415707.07</v>
      </c>
      <c r="I93" s="90">
        <v>259217.76</v>
      </c>
      <c r="J93" s="90">
        <v>295011.73</v>
      </c>
      <c r="K93" s="90">
        <v>249582.98</v>
      </c>
    </row>
    <row r="94" spans="3:11" x14ac:dyDescent="0.3">
      <c r="E94" s="11" t="s">
        <v>12</v>
      </c>
      <c r="F94" s="90">
        <v>555003.22</v>
      </c>
      <c r="G94" s="90">
        <v>514229.72</v>
      </c>
      <c r="H94" s="90">
        <v>490241.33</v>
      </c>
      <c r="I94" s="90">
        <v>149924.65</v>
      </c>
      <c r="J94" s="90">
        <v>343029.58</v>
      </c>
      <c r="K94" s="107">
        <v>0</v>
      </c>
    </row>
    <row r="95" spans="3:11" x14ac:dyDescent="0.3">
      <c r="E95" s="11" t="s">
        <v>13</v>
      </c>
      <c r="F95" s="90">
        <v>150284.17000000001</v>
      </c>
      <c r="G95" s="90">
        <v>70659.67</v>
      </c>
      <c r="H95" s="90">
        <v>-74534.259999999995</v>
      </c>
      <c r="I95" s="90">
        <v>109293.11</v>
      </c>
      <c r="J95" s="90">
        <v>-48017.85</v>
      </c>
      <c r="K95" s="90">
        <v>249582.98</v>
      </c>
    </row>
    <row r="96" spans="3:11" x14ac:dyDescent="0.3">
      <c r="E96" s="11" t="s">
        <v>14</v>
      </c>
      <c r="F96" s="107">
        <v>898.12</v>
      </c>
      <c r="G96" s="107">
        <v>394</v>
      </c>
      <c r="H96" s="107">
        <v>832.73</v>
      </c>
      <c r="I96" s="107">
        <v>774.56</v>
      </c>
      <c r="J96" s="90">
        <v>1026.52</v>
      </c>
      <c r="K96" s="107">
        <v>0</v>
      </c>
    </row>
    <row r="97" spans="5:11" x14ac:dyDescent="0.3">
      <c r="E97" s="11" t="s">
        <v>15</v>
      </c>
      <c r="F97" s="90">
        <v>-25614.12</v>
      </c>
      <c r="G97" s="90">
        <v>68194.62</v>
      </c>
      <c r="H97" s="90">
        <v>-211981.01</v>
      </c>
      <c r="I97" s="90">
        <v>125623.92</v>
      </c>
      <c r="J97" s="90">
        <v>105202.25</v>
      </c>
      <c r="K97" s="90">
        <v>-3342763.17</v>
      </c>
    </row>
    <row r="98" spans="5:11" x14ac:dyDescent="0.3">
      <c r="E98" s="11" t="s">
        <v>16</v>
      </c>
      <c r="F98" s="90">
        <v>157069.35</v>
      </c>
      <c r="G98" s="90">
        <v>70200.08</v>
      </c>
      <c r="H98" s="90">
        <v>268663.5</v>
      </c>
      <c r="I98" s="90">
        <v>235959.09</v>
      </c>
      <c r="J98" s="107">
        <v>0</v>
      </c>
      <c r="K98" s="90">
        <v>3452210.66</v>
      </c>
    </row>
    <row r="99" spans="5:11" x14ac:dyDescent="0.3">
      <c r="E99" s="11" t="s">
        <v>17</v>
      </c>
      <c r="F99" s="90">
        <v>25978.36</v>
      </c>
      <c r="G99" s="90">
        <v>212957.28</v>
      </c>
      <c r="H99" s="90">
        <v>9719.83</v>
      </c>
      <c r="I99" s="90">
        <v>194760.9</v>
      </c>
      <c r="J99" s="107">
        <v>0</v>
      </c>
      <c r="K99" s="107">
        <v>800.94</v>
      </c>
    </row>
    <row r="100" spans="5:11" x14ac:dyDescent="0.3">
      <c r="E100" s="11" t="s">
        <v>18</v>
      </c>
      <c r="F100" s="107">
        <v>0.26</v>
      </c>
      <c r="G100" s="107">
        <v>0.08</v>
      </c>
      <c r="H100" s="107">
        <v>0.13</v>
      </c>
      <c r="I100" s="107">
        <v>0</v>
      </c>
      <c r="J100" s="107">
        <v>0</v>
      </c>
      <c r="K100" s="107">
        <v>0.05</v>
      </c>
    </row>
    <row r="101" spans="5:11" x14ac:dyDescent="0.3">
      <c r="E101" s="11" t="s">
        <v>19</v>
      </c>
      <c r="F101" s="90">
        <v>28799</v>
      </c>
      <c r="G101" s="90">
        <v>27922.9</v>
      </c>
      <c r="H101" s="90">
        <v>16944.759999999998</v>
      </c>
      <c r="I101" s="90">
        <v>20553.86</v>
      </c>
      <c r="J101" s="90">
        <v>28012.26</v>
      </c>
      <c r="K101" s="90">
        <v>29407.35</v>
      </c>
    </row>
    <row r="102" spans="5:11" x14ac:dyDescent="0.3">
      <c r="E102" s="11" t="s">
        <v>20</v>
      </c>
      <c r="F102" s="90">
        <v>76678.13</v>
      </c>
      <c r="G102" s="90">
        <v>-102485.4</v>
      </c>
      <c r="H102" s="90">
        <v>30018.03</v>
      </c>
      <c r="I102" s="90">
        <v>146268.25</v>
      </c>
      <c r="J102" s="90">
        <v>77189.990000000005</v>
      </c>
      <c r="K102" s="90">
        <v>79239.25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76678.13</v>
      </c>
      <c r="G104" s="90">
        <v>-102485.4</v>
      </c>
      <c r="H104" s="90">
        <v>30018.03</v>
      </c>
      <c r="I104" s="90">
        <v>146268.25</v>
      </c>
      <c r="J104" s="90">
        <v>77189.990000000005</v>
      </c>
      <c r="K104" s="90">
        <v>79239.25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1663366.45</v>
      </c>
      <c r="G108" s="90">
        <v>1564187.72</v>
      </c>
      <c r="H108" s="90">
        <v>1725568</v>
      </c>
      <c r="I108" s="90">
        <v>1876911.64</v>
      </c>
      <c r="J108" s="90">
        <v>1819381.63</v>
      </c>
      <c r="K108" s="90">
        <v>1782135.3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1663366.45</v>
      </c>
      <c r="G110" s="90">
        <v>1564187.72</v>
      </c>
      <c r="H110" s="90">
        <v>1725568</v>
      </c>
      <c r="I110" s="90">
        <v>1876911.64</v>
      </c>
      <c r="J110" s="90">
        <v>1819381.63</v>
      </c>
      <c r="K110" s="90">
        <v>1782135.3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313230.63</v>
      </c>
      <c r="G114" s="90">
        <v>155850.35</v>
      </c>
      <c r="H114" s="90">
        <v>150486.29</v>
      </c>
      <c r="I114" s="90">
        <v>136668.22</v>
      </c>
      <c r="J114" s="90">
        <v>88946.240000000005</v>
      </c>
      <c r="K114" s="90">
        <v>36206.080000000002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46074.23</v>
      </c>
      <c r="G116" s="90">
        <v>9193.56</v>
      </c>
      <c r="H116" s="90">
        <v>1842.92</v>
      </c>
      <c r="I116" s="90">
        <v>2855.84</v>
      </c>
      <c r="J116" s="107">
        <v>231.92</v>
      </c>
      <c r="K116" s="90">
        <v>2037.84</v>
      </c>
    </row>
    <row r="117" spans="5:11" ht="15" customHeight="1" x14ac:dyDescent="0.3">
      <c r="E117" s="8" t="s">
        <v>36</v>
      </c>
      <c r="F117" s="90">
        <v>267156.40000000002</v>
      </c>
      <c r="G117" s="90">
        <v>146656.79</v>
      </c>
      <c r="H117" s="90">
        <v>148643.37</v>
      </c>
      <c r="I117" s="90">
        <v>133812.38</v>
      </c>
      <c r="J117" s="90">
        <v>88714.32</v>
      </c>
      <c r="K117" s="90">
        <v>34168.239999999998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1976597.08</v>
      </c>
      <c r="G120" s="90">
        <v>1720038.07</v>
      </c>
      <c r="H120" s="90">
        <v>1876054.29</v>
      </c>
      <c r="I120" s="90">
        <v>2013579.86</v>
      </c>
      <c r="J120" s="90">
        <v>1908327.87</v>
      </c>
      <c r="K120" s="90">
        <v>1818341.38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1301511.6200000001</v>
      </c>
      <c r="G122" s="90">
        <v>1219797.44</v>
      </c>
      <c r="H122" s="90">
        <v>1343261.84</v>
      </c>
      <c r="I122" s="90">
        <v>1313243.75</v>
      </c>
      <c r="J122" s="90">
        <v>1166975.5</v>
      </c>
      <c r="K122" s="90">
        <v>1089785.51</v>
      </c>
    </row>
    <row r="123" spans="5:11" x14ac:dyDescent="0.3">
      <c r="E123" s="8" t="s">
        <v>42</v>
      </c>
      <c r="F123" s="90">
        <v>1224833.49</v>
      </c>
      <c r="G123" s="90">
        <v>1322282.8400000001</v>
      </c>
      <c r="H123" s="90">
        <v>1313243.81</v>
      </c>
      <c r="I123" s="90">
        <v>1166975.5</v>
      </c>
      <c r="J123" s="90">
        <v>1089785.51</v>
      </c>
      <c r="K123" s="90">
        <v>1010546.26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76678.13</v>
      </c>
      <c r="G126" s="90">
        <v>-102485.4</v>
      </c>
      <c r="H126" s="90">
        <v>30018.03</v>
      </c>
      <c r="I126" s="90">
        <v>146268.25</v>
      </c>
      <c r="J126" s="90">
        <v>77189.990000000005</v>
      </c>
      <c r="K126" s="90">
        <v>79239.25</v>
      </c>
    </row>
    <row r="127" spans="5:11" ht="15" customHeight="1" x14ac:dyDescent="0.3">
      <c r="E127" s="18" t="s">
        <v>91</v>
      </c>
      <c r="F127" s="90">
        <v>675085.46</v>
      </c>
      <c r="G127" s="90">
        <v>500240.63</v>
      </c>
      <c r="H127" s="90">
        <v>532792.44999999995</v>
      </c>
      <c r="I127" s="90">
        <v>700336.11</v>
      </c>
      <c r="J127" s="90">
        <v>741352.37</v>
      </c>
      <c r="K127" s="90">
        <v>728555.87</v>
      </c>
    </row>
    <row r="128" spans="5:11" ht="15" customHeight="1" x14ac:dyDescent="0.3">
      <c r="E128" s="8" t="s">
        <v>46</v>
      </c>
      <c r="F128" s="90">
        <v>4299</v>
      </c>
      <c r="G128" s="90">
        <v>4509.26</v>
      </c>
      <c r="H128" s="90">
        <v>3592.21</v>
      </c>
      <c r="I128" s="90">
        <v>4869.18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245035.5</v>
      </c>
      <c r="G129" s="90">
        <v>269930.5</v>
      </c>
      <c r="H129" s="90">
        <v>275846.5</v>
      </c>
      <c r="I129" s="90">
        <v>324741.5</v>
      </c>
      <c r="J129" s="90">
        <v>373636.5</v>
      </c>
      <c r="K129" s="90">
        <v>348531.5</v>
      </c>
    </row>
    <row r="130" spans="5:11" ht="15" customHeight="1" x14ac:dyDescent="0.3">
      <c r="E130" s="17" t="s">
        <v>90</v>
      </c>
      <c r="F130" s="90">
        <v>143144.53</v>
      </c>
      <c r="G130" s="90">
        <v>12784.15</v>
      </c>
      <c r="H130" s="90">
        <v>3835.44</v>
      </c>
      <c r="I130" s="90">
        <v>5724.49</v>
      </c>
      <c r="J130" s="90">
        <v>3486.07</v>
      </c>
      <c r="K130" s="90">
        <v>2633.97</v>
      </c>
    </row>
    <row r="131" spans="5:11" ht="15" customHeight="1" x14ac:dyDescent="0.3">
      <c r="E131" s="17" t="s">
        <v>88</v>
      </c>
      <c r="F131" s="90">
        <v>282606.43</v>
      </c>
      <c r="G131" s="90">
        <v>213016.72</v>
      </c>
      <c r="H131" s="90">
        <v>249518.3</v>
      </c>
      <c r="I131" s="90">
        <v>365000.94</v>
      </c>
      <c r="J131" s="90">
        <v>364229.8</v>
      </c>
      <c r="K131" s="90">
        <v>377390.4</v>
      </c>
    </row>
    <row r="132" spans="5:11" x14ac:dyDescent="0.3">
      <c r="E132" s="7" t="s">
        <v>47</v>
      </c>
      <c r="F132" s="90">
        <v>1976597.08</v>
      </c>
      <c r="G132" s="90">
        <v>1720038.07</v>
      </c>
      <c r="H132" s="90">
        <v>1876054.29</v>
      </c>
      <c r="I132" s="90">
        <v>2013579.86</v>
      </c>
      <c r="J132" s="90">
        <v>1908327.87</v>
      </c>
      <c r="K132" s="90">
        <v>1818341.38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8FF8B-DFE0-49A4-B511-5A9720C9D504}">
  <sheetPr>
    <tabColor theme="5" tint="0.79998168889431442"/>
  </sheetPr>
  <dimension ref="A1:L177"/>
  <sheetViews>
    <sheetView topLeftCell="A148" workbookViewId="0">
      <selection sqref="A1:K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400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0.17891176645084672</v>
      </c>
      <c r="B4" s="139">
        <f>MAX(F4:K4)</f>
        <v>0.71938901793611998</v>
      </c>
      <c r="C4" s="155">
        <f>AVERAGE(F4:K4)</f>
        <v>0.43293776772109421</v>
      </c>
      <c r="D4" s="156">
        <f>MEDIAN(F4:K4)</f>
        <v>0.43215362559575921</v>
      </c>
      <c r="E4" s="47" t="s">
        <v>364</v>
      </c>
      <c r="F4" s="71">
        <f>SUM(F9:F12)/SUM(F13:F15)</f>
        <v>0.71938901793611998</v>
      </c>
      <c r="G4" s="71">
        <f t="shared" ref="G4:K4" si="0">SUM(G9:G12)/SUM(G13:G15)</f>
        <v>0.51612350173595989</v>
      </c>
      <c r="H4" s="71">
        <f t="shared" si="0"/>
        <v>0.44729601493687293</v>
      </c>
      <c r="I4" s="71">
        <f t="shared" si="0"/>
        <v>0.41701123625464553</v>
      </c>
      <c r="J4" s="71">
        <f t="shared" si="0"/>
        <v>0.17891176645084672</v>
      </c>
      <c r="K4" s="71">
        <f t="shared" si="0"/>
        <v>0.31889506901212028</v>
      </c>
    </row>
    <row r="5" spans="1:11" s="43" customFormat="1" ht="13.2" x14ac:dyDescent="0.25">
      <c r="A5" s="139">
        <f t="shared" ref="A5:A7" si="1">MIN(F5:K5)</f>
        <v>5.9261024307454946</v>
      </c>
      <c r="B5" s="139">
        <f t="shared" ref="B5:B7" si="2">MAX(F5:K5)</f>
        <v>16.599252631181045</v>
      </c>
      <c r="C5" s="155">
        <f t="shared" ref="C5:C7" si="3">AVERAGEIF(F5:K5,"&gt;0")</f>
        <v>9.9620013491450372</v>
      </c>
      <c r="D5" s="156">
        <f t="shared" ref="D5:D7" si="4">_xlfn.AGGREGATE(12,6,F5:K5)</f>
        <v>8.4675937219665478</v>
      </c>
      <c r="E5" s="47" t="s">
        <v>363</v>
      </c>
      <c r="F5" s="71">
        <f t="shared" ref="F5:K5" si="5">SUM(F9:F12)/F14</f>
        <v>6.7625863932276395</v>
      </c>
      <c r="G5" s="71">
        <f t="shared" si="5"/>
        <v>5.9261024307454946</v>
      </c>
      <c r="H5" s="71">
        <f t="shared" si="5"/>
        <v>6.3110711976722706</v>
      </c>
      <c r="I5" s="71">
        <f t="shared" si="5"/>
        <v>10.172601050705456</v>
      </c>
      <c r="J5" s="71">
        <f t="shared" si="5"/>
        <v>16.599252631181045</v>
      </c>
      <c r="K5" s="71">
        <f t="shared" si="5"/>
        <v>14.00039439133832</v>
      </c>
    </row>
    <row r="6" spans="1:11" s="43" customFormat="1" ht="13.2" x14ac:dyDescent="0.25">
      <c r="A6" s="139">
        <f t="shared" si="1"/>
        <v>5.9261024307454946</v>
      </c>
      <c r="B6" s="139">
        <f t="shared" si="2"/>
        <v>16.599252631181045</v>
      </c>
      <c r="C6" s="155">
        <f t="shared" si="3"/>
        <v>9.9620013491450372</v>
      </c>
      <c r="D6" s="156">
        <f t="shared" si="4"/>
        <v>8.4675937219665478</v>
      </c>
      <c r="E6" s="47" t="s">
        <v>365</v>
      </c>
      <c r="F6" s="71">
        <f t="shared" ref="F6:K6" si="6">SUM(F10:F11)/F14</f>
        <v>6.7625863932276395</v>
      </c>
      <c r="G6" s="71">
        <f t="shared" si="6"/>
        <v>5.9261024307454946</v>
      </c>
      <c r="H6" s="71">
        <f t="shared" si="6"/>
        <v>6.3110711976722706</v>
      </c>
      <c r="I6" s="71">
        <f t="shared" si="6"/>
        <v>10.172601050705456</v>
      </c>
      <c r="J6" s="71">
        <f t="shared" si="6"/>
        <v>16.599252631181045</v>
      </c>
      <c r="K6" s="71">
        <f t="shared" si="6"/>
        <v>14.00039439133832</v>
      </c>
    </row>
    <row r="7" spans="1:11" s="43" customFormat="1" ht="13.8" thickBot="1" x14ac:dyDescent="0.3">
      <c r="A7" s="139">
        <f t="shared" si="1"/>
        <v>5.8981555922299957</v>
      </c>
      <c r="B7" s="139">
        <f t="shared" si="2"/>
        <v>15.939500566106679</v>
      </c>
      <c r="C7" s="155">
        <f t="shared" si="3"/>
        <v>9.646295201322074</v>
      </c>
      <c r="D7" s="156">
        <f t="shared" si="4"/>
        <v>8.3982142705648144</v>
      </c>
      <c r="E7" s="49" t="s">
        <v>366</v>
      </c>
      <c r="F7" s="73">
        <f t="shared" ref="F7:K7" si="7">F11/F14</f>
        <v>6.6911107198150894</v>
      </c>
      <c r="G7" s="73">
        <f t="shared" si="7"/>
        <v>5.8981555922299957</v>
      </c>
      <c r="H7" s="73">
        <f t="shared" si="7"/>
        <v>6.1900447625065143</v>
      </c>
      <c r="I7" s="73">
        <f t="shared" si="7"/>
        <v>10.105317821314538</v>
      </c>
      <c r="J7" s="73">
        <f t="shared" si="7"/>
        <v>15.939500566106679</v>
      </c>
      <c r="K7" s="73">
        <f t="shared" si="7"/>
        <v>13.053641745959629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18591.13</v>
      </c>
      <c r="G10" s="76">
        <f t="shared" si="8"/>
        <v>5658.12</v>
      </c>
      <c r="H10" s="76">
        <f t="shared" si="8"/>
        <v>18139.43</v>
      </c>
      <c r="I10" s="76">
        <f t="shared" si="8"/>
        <v>5749.43</v>
      </c>
      <c r="J10" s="76">
        <f t="shared" si="8"/>
        <v>18326.23</v>
      </c>
      <c r="K10" s="76">
        <f t="shared" si="8"/>
        <v>58597.21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1740386.67</v>
      </c>
      <c r="G11" s="76">
        <f t="shared" si="8"/>
        <v>1194141.23</v>
      </c>
      <c r="H11" s="76">
        <f t="shared" si="8"/>
        <v>927763.29</v>
      </c>
      <c r="I11" s="76">
        <f t="shared" si="8"/>
        <v>863511.13</v>
      </c>
      <c r="J11" s="76">
        <f t="shared" si="8"/>
        <v>442758.68</v>
      </c>
      <c r="K11" s="76">
        <f t="shared" si="8"/>
        <v>807926.96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425377.81</v>
      </c>
      <c r="G13" s="76">
        <f t="shared" ref="G13:K13" si="9">G128</f>
        <v>318158.21000000002</v>
      </c>
      <c r="H13" s="76">
        <f t="shared" si="9"/>
        <v>268923.36</v>
      </c>
      <c r="I13" s="76">
        <f t="shared" si="9"/>
        <v>218619.07</v>
      </c>
      <c r="J13" s="76">
        <f t="shared" si="9"/>
        <v>180808.45</v>
      </c>
      <c r="K13" s="76">
        <f t="shared" si="9"/>
        <v>146095.99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260104.3</v>
      </c>
      <c r="G14" s="76">
        <f t="shared" ref="G14:K15" si="10">G130</f>
        <v>202460.11</v>
      </c>
      <c r="H14" s="76">
        <f t="shared" si="10"/>
        <v>149879.9</v>
      </c>
      <c r="I14" s="76">
        <f t="shared" si="10"/>
        <v>85451.16</v>
      </c>
      <c r="J14" s="76">
        <f t="shared" si="10"/>
        <v>27777.45</v>
      </c>
      <c r="K14" s="76">
        <f t="shared" si="10"/>
        <v>61892.84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1759617.49</v>
      </c>
      <c r="G15" s="76">
        <f t="shared" si="10"/>
        <v>1804017.83</v>
      </c>
      <c r="H15" s="76">
        <f t="shared" si="10"/>
        <v>1695909.79</v>
      </c>
      <c r="I15" s="76">
        <f t="shared" si="10"/>
        <v>1780431.3</v>
      </c>
      <c r="J15" s="76">
        <f t="shared" si="10"/>
        <v>2368577.7999999998</v>
      </c>
      <c r="K15" s="76">
        <f t="shared" si="10"/>
        <v>2509281.69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4.1047860686733753</v>
      </c>
      <c r="B19" s="152">
        <f t="shared" ref="B19:B25" si="12">MAX(F19:K19)</f>
        <v>125.34894220475779</v>
      </c>
      <c r="C19" s="156">
        <f>AVERAGE(F19:K19)</f>
        <v>33.834715175994297</v>
      </c>
      <c r="D19" s="156">
        <f>MEDIAN(F19:K19)</f>
        <v>15.015933627803566</v>
      </c>
      <c r="E19" s="47" t="s">
        <v>293</v>
      </c>
      <c r="F19" s="71">
        <f>F28/(F27/365)</f>
        <v>5.2433573624429748</v>
      </c>
      <c r="G19" s="71">
        <f t="shared" ref="G19:K19" si="13">G28/(G27/365)</f>
        <v>4.1047860686733753</v>
      </c>
      <c r="H19" s="71">
        <f t="shared" si="13"/>
        <v>22.086647287966645</v>
      </c>
      <c r="I19" s="71">
        <f t="shared" si="13"/>
        <v>7.9452199676404884</v>
      </c>
      <c r="J19" s="71">
        <f t="shared" si="13"/>
        <v>38.279338164484535</v>
      </c>
      <c r="K19" s="71">
        <f t="shared" si="13"/>
        <v>125.34894220475779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58.020793250824688</v>
      </c>
      <c r="B21" s="152">
        <f t="shared" si="12"/>
        <v>182.49440510841364</v>
      </c>
      <c r="C21" s="156">
        <f t="shared" si="14"/>
        <v>118.53953534539102</v>
      </c>
      <c r="D21" s="156">
        <f t="shared" si="15"/>
        <v>125.24250802038435</v>
      </c>
      <c r="E21" s="47" t="s">
        <v>368</v>
      </c>
      <c r="F21" s="71">
        <f>F30/(F27/365)</f>
        <v>73.35862835707546</v>
      </c>
      <c r="G21" s="71">
        <f t="shared" ref="G21:K21" si="17">G30/(G27/365)</f>
        <v>146.87836931526357</v>
      </c>
      <c r="H21" s="71">
        <f t="shared" si="17"/>
        <v>182.49440510841364</v>
      </c>
      <c r="I21" s="71">
        <f t="shared" si="17"/>
        <v>118.08618640283335</v>
      </c>
      <c r="J21" s="71">
        <f t="shared" si="17"/>
        <v>58.020793250824688</v>
      </c>
      <c r="K21" s="71">
        <f t="shared" si="17"/>
        <v>132.39882963793534</v>
      </c>
    </row>
    <row r="22" spans="1:11" s="43" customFormat="1" ht="13.2" x14ac:dyDescent="0.25">
      <c r="A22" s="152">
        <f t="shared" si="11"/>
        <v>-160.40775782044699</v>
      </c>
      <c r="B22" s="152">
        <f t="shared" si="12"/>
        <v>-7.0498874331775454</v>
      </c>
      <c r="C22" s="156">
        <f t="shared" si="14"/>
        <v>-84.704820169396712</v>
      </c>
      <c r="D22" s="156">
        <f t="shared" si="15"/>
        <v>-89.128118714912674</v>
      </c>
      <c r="E22" s="47" t="s">
        <v>294</v>
      </c>
      <c r="F22" s="71">
        <f>F19+F20-F21</f>
        <v>-68.115270994632482</v>
      </c>
      <c r="G22" s="71">
        <f t="shared" ref="G22:K22" si="18">G19+G20-G21</f>
        <v>-142.77358324659019</v>
      </c>
      <c r="H22" s="71">
        <f t="shared" si="18"/>
        <v>-160.40775782044699</v>
      </c>
      <c r="I22" s="71">
        <f t="shared" si="18"/>
        <v>-110.14096643519287</v>
      </c>
      <c r="J22" s="71">
        <f t="shared" si="18"/>
        <v>-19.741455086340153</v>
      </c>
      <c r="K22" s="71">
        <f t="shared" si="18"/>
        <v>-7.0498874331775454</v>
      </c>
    </row>
    <row r="23" spans="1:11" s="43" customFormat="1" ht="13.2" x14ac:dyDescent="0.25">
      <c r="A23" s="152">
        <f t="shared" si="11"/>
        <v>2.8771176514260755E-2</v>
      </c>
      <c r="B23" s="152">
        <f t="shared" si="12"/>
        <v>0.192692424492308</v>
      </c>
      <c r="C23" s="156">
        <f t="shared" si="14"/>
        <v>7.088255434291825E-2</v>
      </c>
      <c r="D23" s="156">
        <f t="shared" si="15"/>
        <v>4.7203146050568606E-2</v>
      </c>
      <c r="E23" s="47" t="s">
        <v>295</v>
      </c>
      <c r="F23" s="71">
        <f>F27/F31</f>
        <v>0.192692424492308</v>
      </c>
      <c r="G23" s="71">
        <f t="shared" ref="G23:K23" si="19">G27/G31</f>
        <v>7.9023491865638978E-2</v>
      </c>
      <c r="H23" s="71">
        <f t="shared" si="19"/>
        <v>4.940390258656728E-2</v>
      </c>
      <c r="I23" s="71">
        <f t="shared" si="19"/>
        <v>4.5002389514569925E-2</v>
      </c>
      <c r="J23" s="71">
        <f t="shared" si="19"/>
        <v>3.0401941084164493E-2</v>
      </c>
      <c r="K23" s="71">
        <f t="shared" si="19"/>
        <v>2.8771176514260755E-2</v>
      </c>
    </row>
    <row r="24" spans="1:11" s="43" customFormat="1" ht="13.2" x14ac:dyDescent="0.25">
      <c r="A24" s="152">
        <f t="shared" si="11"/>
        <v>3.3053478873916957E-2</v>
      </c>
      <c r="B24" s="152">
        <f t="shared" si="12"/>
        <v>0.26106553695231921</v>
      </c>
      <c r="C24" s="156">
        <f t="shared" si="14"/>
        <v>8.9423464480027651E-2</v>
      </c>
      <c r="D24" s="156">
        <f t="shared" si="15"/>
        <v>5.5677086731700617E-2</v>
      </c>
      <c r="E24" s="121" t="s">
        <v>369</v>
      </c>
      <c r="F24" s="71">
        <f>F27/F32</f>
        <v>0.26106553695231921</v>
      </c>
      <c r="G24" s="71">
        <f t="shared" ref="G24:K24" si="20">G27/G32</f>
        <v>9.7373232776545013E-2</v>
      </c>
      <c r="H24" s="71">
        <f t="shared" si="20"/>
        <v>5.8527870497873065E-2</v>
      </c>
      <c r="I24" s="71">
        <f t="shared" si="20"/>
        <v>5.2826302965528177E-2</v>
      </c>
      <c r="J24" s="71">
        <f t="shared" si="20"/>
        <v>3.3053478873916957E-2</v>
      </c>
      <c r="K24" s="71">
        <f t="shared" si="20"/>
        <v>3.3694364813983524E-2</v>
      </c>
    </row>
    <row r="25" spans="1:11" s="43" customFormat="1" ht="13.8" thickBot="1" x14ac:dyDescent="0.3">
      <c r="A25" s="152">
        <f t="shared" si="11"/>
        <v>0.19691030661037418</v>
      </c>
      <c r="B25" s="152">
        <f t="shared" si="12"/>
        <v>0.73574756884367731</v>
      </c>
      <c r="C25" s="156">
        <f t="shared" si="14"/>
        <v>0.3919576955643444</v>
      </c>
      <c r="D25" s="156">
        <f t="shared" si="15"/>
        <v>0.34794847353546099</v>
      </c>
      <c r="E25" s="49" t="s">
        <v>296</v>
      </c>
      <c r="F25" s="73">
        <f>F27/F33</f>
        <v>0.73574756884367731</v>
      </c>
      <c r="G25" s="73">
        <f t="shared" ref="G25:K25" si="21">G27/G33</f>
        <v>0.41933959207429139</v>
      </c>
      <c r="H25" s="73">
        <f t="shared" si="21"/>
        <v>0.31691312823373635</v>
      </c>
      <c r="I25" s="73">
        <f t="shared" si="21"/>
        <v>0.30385175878680148</v>
      </c>
      <c r="J25" s="73">
        <f t="shared" si="21"/>
        <v>0.37898381883718557</v>
      </c>
      <c r="K25" s="73">
        <f t="shared" si="21"/>
        <v>0.19691030661037418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1294163.6400000001</v>
      </c>
      <c r="G27" s="76">
        <f t="shared" ref="G27:K27" si="22">G93+G86</f>
        <v>503123.37</v>
      </c>
      <c r="H27" s="76">
        <f t="shared" si="22"/>
        <v>299768.99</v>
      </c>
      <c r="I27" s="76">
        <f t="shared" si="22"/>
        <v>264126.34999999998</v>
      </c>
      <c r="J27" s="76">
        <f t="shared" si="22"/>
        <v>174743.72</v>
      </c>
      <c r="K27" s="76">
        <f t="shared" si="22"/>
        <v>170627.54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18591.13</v>
      </c>
      <c r="G28" s="76">
        <f t="shared" ref="G28:K28" si="23">G116</f>
        <v>5658.12</v>
      </c>
      <c r="H28" s="76">
        <f t="shared" si="23"/>
        <v>18139.43</v>
      </c>
      <c r="I28" s="76">
        <f t="shared" si="23"/>
        <v>5749.43</v>
      </c>
      <c r="J28" s="76">
        <f t="shared" si="23"/>
        <v>18326.23</v>
      </c>
      <c r="K28" s="76">
        <f t="shared" si="23"/>
        <v>58597.21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260104.3</v>
      </c>
      <c r="G30" s="76">
        <f t="shared" ref="G30:K30" si="25">G130</f>
        <v>202460.11</v>
      </c>
      <c r="H30" s="76">
        <f t="shared" si="25"/>
        <v>149879.9</v>
      </c>
      <c r="I30" s="76">
        <f t="shared" si="25"/>
        <v>85451.16</v>
      </c>
      <c r="J30" s="76">
        <f t="shared" si="25"/>
        <v>27777.45</v>
      </c>
      <c r="K30" s="76">
        <f t="shared" si="25"/>
        <v>61892.84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6716214.4199999999</v>
      </c>
      <c r="G31" s="76">
        <f t="shared" ref="G31:K31" si="26">G120</f>
        <v>6366757</v>
      </c>
      <c r="H31" s="76">
        <f t="shared" si="26"/>
        <v>6067718.8300000001</v>
      </c>
      <c r="I31" s="76">
        <f t="shared" si="26"/>
        <v>5869162.79</v>
      </c>
      <c r="J31" s="76">
        <f t="shared" si="26"/>
        <v>5747781.6799999997</v>
      </c>
      <c r="K31" s="76">
        <f t="shared" si="26"/>
        <v>5930502.7000000002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4957236.62</v>
      </c>
      <c r="G32" s="76">
        <f t="shared" ref="G32:K32" si="27">G108</f>
        <v>5166957.6500000004</v>
      </c>
      <c r="H32" s="76">
        <f t="shared" si="27"/>
        <v>5121816.1100000003</v>
      </c>
      <c r="I32" s="76">
        <f t="shared" si="27"/>
        <v>4999902.2300000004</v>
      </c>
      <c r="J32" s="76">
        <f t="shared" si="27"/>
        <v>5286696.7699999996</v>
      </c>
      <c r="K32" s="76">
        <f t="shared" si="27"/>
        <v>5063978.53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1758977.8</v>
      </c>
      <c r="G33" s="76">
        <f t="shared" ref="G33:K33" si="28">G114</f>
        <v>1199799.3500000001</v>
      </c>
      <c r="H33" s="76">
        <f t="shared" si="28"/>
        <v>945902.72</v>
      </c>
      <c r="I33" s="76">
        <f t="shared" si="28"/>
        <v>869260.56</v>
      </c>
      <c r="J33" s="76">
        <f t="shared" si="28"/>
        <v>461084.91</v>
      </c>
      <c r="K33" s="76">
        <f t="shared" si="28"/>
        <v>866524.17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4.8327253097755103E-3</v>
      </c>
      <c r="B37" s="139">
        <f t="shared" ref="B37:B41" si="30">MAX(F37:K37)</f>
        <v>5.3206459420930753E-2</v>
      </c>
      <c r="C37" s="160">
        <f t="shared" ref="C37:C41" si="31">AVERAGE(F37:K37)</f>
        <v>3.1132486228348018E-2</v>
      </c>
      <c r="D37" s="160">
        <f t="shared" ref="D37:D41" si="32">MEDIAN(F37:K37)</f>
        <v>3.2619244402717323E-2</v>
      </c>
      <c r="E37" s="47" t="s">
        <v>370</v>
      </c>
      <c r="F37" s="119">
        <f>F43/F44*100%</f>
        <v>5.3206459420930753E-2</v>
      </c>
      <c r="G37" s="119">
        <f t="shared" ref="G37:K37" si="33">G43/G44*100%</f>
        <v>5.0679144814228028E-2</v>
      </c>
      <c r="H37" s="119">
        <f t="shared" si="33"/>
        <v>5.3080887401633282E-2</v>
      </c>
      <c r="I37" s="119">
        <f t="shared" si="33"/>
        <v>1.4559343991206624E-2</v>
      </c>
      <c r="J37" s="119">
        <f t="shared" si="33"/>
        <v>4.8327253097755103E-3</v>
      </c>
      <c r="K37" s="119">
        <f t="shared" si="33"/>
        <v>1.0436356432313908E-2</v>
      </c>
    </row>
    <row r="38" spans="1:11" s="43" customFormat="1" ht="13.2" x14ac:dyDescent="0.25">
      <c r="A38" s="139">
        <f t="shared" si="29"/>
        <v>8.7608946190357497E-3</v>
      </c>
      <c r="B38" s="139">
        <f t="shared" si="30"/>
        <v>8.5614962139493683E-2</v>
      </c>
      <c r="C38" s="155">
        <f t="shared" si="31"/>
        <v>5.0612595595951958E-2</v>
      </c>
      <c r="D38" s="156">
        <f t="shared" si="32"/>
        <v>5.242484497876676E-2</v>
      </c>
      <c r="E38" s="50" t="s">
        <v>298</v>
      </c>
      <c r="F38" s="122">
        <f>F43/F45</f>
        <v>8.5614962139493683E-2</v>
      </c>
      <c r="G38" s="122">
        <f t="shared" ref="G38:K38" si="34">G43/G45</f>
        <v>8.2271405104637596E-2</v>
      </c>
      <c r="H38" s="122">
        <f t="shared" si="34"/>
        <v>8.5188163249157969E-2</v>
      </c>
      <c r="I38" s="122">
        <f t="shared" si="34"/>
        <v>2.2578284852895925E-2</v>
      </c>
      <c r="J38" s="122">
        <f t="shared" si="34"/>
        <v>8.7608946190357497E-3</v>
      </c>
      <c r="K38" s="122">
        <f t="shared" si="34"/>
        <v>1.926186361049079E-2</v>
      </c>
    </row>
    <row r="39" spans="1:11" s="43" customFormat="1" ht="13.2" x14ac:dyDescent="0.25">
      <c r="A39" s="139">
        <f t="shared" si="29"/>
        <v>1.5507762483345737</v>
      </c>
      <c r="B39" s="139">
        <f t="shared" si="30"/>
        <v>1.8456502262466448</v>
      </c>
      <c r="C39" s="155">
        <f t="shared" si="31"/>
        <v>1.6744357127324836</v>
      </c>
      <c r="D39" s="156">
        <f t="shared" si="32"/>
        <v>1.6162431767285654</v>
      </c>
      <c r="E39" s="50" t="s">
        <v>299</v>
      </c>
      <c r="F39" s="122">
        <f>F44/F45</f>
        <v>1.6091084253919332</v>
      </c>
      <c r="G39" s="122">
        <f t="shared" ref="G39:K39" si="35">G44/G45</f>
        <v>1.6233779280651974</v>
      </c>
      <c r="H39" s="122">
        <f t="shared" si="35"/>
        <v>1.6048745116973453</v>
      </c>
      <c r="I39" s="122">
        <f t="shared" si="35"/>
        <v>1.5507762483345737</v>
      </c>
      <c r="J39" s="122">
        <f t="shared" si="35"/>
        <v>1.812826936659206</v>
      </c>
      <c r="K39" s="122">
        <f t="shared" si="35"/>
        <v>1.8456502262466448</v>
      </c>
    </row>
    <row r="40" spans="1:11" s="43" customFormat="1" ht="13.2" x14ac:dyDescent="0.25">
      <c r="A40" s="139">
        <f t="shared" si="29"/>
        <v>0</v>
      </c>
      <c r="B40" s="139">
        <f t="shared" si="30"/>
        <v>2.8379693394593238E-2</v>
      </c>
      <c r="C40" s="160">
        <f t="shared" si="31"/>
        <v>1.0289652993827121E-2</v>
      </c>
      <c r="D40" s="160">
        <f t="shared" si="32"/>
        <v>7.239322922033809E-3</v>
      </c>
      <c r="E40" s="77" t="s">
        <v>371</v>
      </c>
      <c r="F40" s="119">
        <f>F46/F44*100%</f>
        <v>1.4478645844067618E-2</v>
      </c>
      <c r="G40" s="119">
        <f t="shared" ref="G40:K40" si="36">G46/G44*100%</f>
        <v>1.887957872430187E-2</v>
      </c>
      <c r="H40" s="119">
        <f t="shared" si="36"/>
        <v>2.8379693394593238E-2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-741.47536111111117</v>
      </c>
      <c r="B41" s="139">
        <f t="shared" si="30"/>
        <v>49644.75588235294</v>
      </c>
      <c r="C41" s="155">
        <f t="shared" si="31"/>
        <v>8143.3645370386184</v>
      </c>
      <c r="D41" s="156">
        <f t="shared" si="32"/>
        <v>97.150483482932756</v>
      </c>
      <c r="E41" s="51" t="s">
        <v>300</v>
      </c>
      <c r="F41" s="123">
        <f>(F47+F48)/F48</f>
        <v>322.31889191875433</v>
      </c>
      <c r="G41" s="123">
        <f t="shared" ref="G41:K41" si="37">(G47+G48)/G48</f>
        <v>182.12679352413107</v>
      </c>
      <c r="H41" s="123">
        <f t="shared" si="37"/>
        <v>12.174173441734419</v>
      </c>
      <c r="I41" s="123">
        <f t="shared" si="37"/>
        <v>-741.47536111111117</v>
      </c>
      <c r="J41" s="123">
        <f t="shared" si="37"/>
        <v>-559.71315789473681</v>
      </c>
      <c r="K41" s="123">
        <f t="shared" si="37"/>
        <v>49644.75588235294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357345.99</v>
      </c>
      <c r="G43" s="76">
        <f t="shared" ref="G43:K43" si="38">G129+G130</f>
        <v>322661.8</v>
      </c>
      <c r="H43" s="76">
        <f t="shared" si="38"/>
        <v>322079.90000000002</v>
      </c>
      <c r="I43" s="76">
        <f t="shared" si="38"/>
        <v>85451.16</v>
      </c>
      <c r="J43" s="76">
        <f t="shared" si="38"/>
        <v>27777.45</v>
      </c>
      <c r="K43" s="76">
        <f t="shared" si="38"/>
        <v>61892.84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6716214.4199999999</v>
      </c>
      <c r="G44" s="76">
        <f t="shared" ref="G44:K44" si="39">G120</f>
        <v>6366757</v>
      </c>
      <c r="H44" s="76">
        <f t="shared" si="39"/>
        <v>6067718.8300000001</v>
      </c>
      <c r="I44" s="76">
        <f t="shared" si="39"/>
        <v>5869162.79</v>
      </c>
      <c r="J44" s="76">
        <f t="shared" si="39"/>
        <v>5747781.6799999997</v>
      </c>
      <c r="K44" s="76">
        <f t="shared" si="39"/>
        <v>5930502.7000000002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4173873.13</v>
      </c>
      <c r="G45" s="76">
        <f t="shared" ref="G45:K45" si="40">G122</f>
        <v>3921919.16</v>
      </c>
      <c r="H45" s="76">
        <f t="shared" si="40"/>
        <v>3780805.78</v>
      </c>
      <c r="I45" s="76">
        <f t="shared" si="40"/>
        <v>3784661.26</v>
      </c>
      <c r="J45" s="76">
        <f t="shared" si="40"/>
        <v>3170617.98</v>
      </c>
      <c r="K45" s="76">
        <f t="shared" si="40"/>
        <v>3213232.18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97241.69</v>
      </c>
      <c r="G46" s="76">
        <f t="shared" ref="G46:K46" si="41">G129</f>
        <v>120201.69</v>
      </c>
      <c r="H46" s="76">
        <f t="shared" si="41"/>
        <v>172200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252164.64</v>
      </c>
      <c r="G47" s="76">
        <f t="shared" ref="G47:K47" si="42">G102</f>
        <v>141637.53</v>
      </c>
      <c r="H47" s="76">
        <f t="shared" si="42"/>
        <v>4123.2700000000004</v>
      </c>
      <c r="I47" s="76">
        <f t="shared" si="42"/>
        <v>-267291.13</v>
      </c>
      <c r="J47" s="76">
        <f t="shared" si="42"/>
        <v>-42614.2</v>
      </c>
      <c r="K47" s="76">
        <f t="shared" si="42"/>
        <v>168788.77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784.78</v>
      </c>
      <c r="G48" s="76">
        <f t="shared" ref="G48:K48" si="43">G101</f>
        <v>781.98</v>
      </c>
      <c r="H48" s="76">
        <f t="shared" si="43"/>
        <v>369</v>
      </c>
      <c r="I48" s="76">
        <f t="shared" si="43"/>
        <v>360</v>
      </c>
      <c r="J48" s="76">
        <f t="shared" si="43"/>
        <v>76</v>
      </c>
      <c r="K48" s="76">
        <f t="shared" si="43"/>
        <v>3.4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-1.334410982208549</v>
      </c>
      <c r="B52" s="139">
        <f t="shared" ref="B52:B63" si="45">MAX(F52:K52)</f>
        <v>1.4056771197806286</v>
      </c>
      <c r="C52" s="160">
        <f t="shared" ref="C52:C63" si="46">AVERAGE(F52:K52)</f>
        <v>-0.28306016945602142</v>
      </c>
      <c r="D52" s="160">
        <f t="shared" ref="D52:D63" si="47">MEDIAN(F52:K52)</f>
        <v>-0.25920166271080292</v>
      </c>
      <c r="E52" s="50" t="s">
        <v>350</v>
      </c>
      <c r="F52" s="119">
        <f t="shared" ref="F52:K52" si="48">(F65/(F70+F71))*100%</f>
        <v>6.6658714046113329E-2</v>
      </c>
      <c r="G52" s="119">
        <f t="shared" si="48"/>
        <v>-0.12164537589637071</v>
      </c>
      <c r="H52" s="119">
        <f t="shared" si="48"/>
        <v>-0.39675794952523508</v>
      </c>
      <c r="I52" s="119">
        <f t="shared" si="48"/>
        <v>-1.3178825429327159</v>
      </c>
      <c r="J52" s="119">
        <f t="shared" si="48"/>
        <v>-1.334410982208549</v>
      </c>
      <c r="K52" s="120">
        <f t="shared" si="48"/>
        <v>1.4056771197806286</v>
      </c>
    </row>
    <row r="53" spans="1:11" s="43" customFormat="1" ht="13.2" x14ac:dyDescent="0.25">
      <c r="A53" s="139">
        <f t="shared" si="44"/>
        <v>0</v>
      </c>
      <c r="B53" s="139">
        <f t="shared" si="45"/>
        <v>0.23804632903746459</v>
      </c>
      <c r="C53" s="160">
        <f t="shared" si="46"/>
        <v>5.7915479892159075E-2</v>
      </c>
      <c r="D53" s="160">
        <f t="shared" si="47"/>
        <v>2.6963793975316669E-3</v>
      </c>
      <c r="E53" s="50" t="s">
        <v>351</v>
      </c>
      <c r="F53" s="119">
        <f>(F66/F70)*100%</f>
        <v>0.23804632903746459</v>
      </c>
      <c r="G53" s="119">
        <f t="shared" ref="G53:J53" si="49">(G66/G70)*100%</f>
        <v>5.6945097568249442E-4</v>
      </c>
      <c r="H53" s="119">
        <f t="shared" si="49"/>
        <v>2.6963793975316669E-3</v>
      </c>
      <c r="I53" s="119">
        <f t="shared" si="49"/>
        <v>4.8265240050116599E-2</v>
      </c>
      <c r="J53" s="119">
        <f t="shared" si="49"/>
        <v>0</v>
      </c>
      <c r="K53" s="178"/>
    </row>
    <row r="54" spans="1:11" s="43" customFormat="1" ht="13.2" x14ac:dyDescent="0.25">
      <c r="A54" s="139">
        <f t="shared" si="44"/>
        <v>-8.4854878026400599E-2</v>
      </c>
      <c r="B54" s="139">
        <f t="shared" si="45"/>
        <v>2.2470402315012079E-2</v>
      </c>
      <c r="C54" s="160">
        <f t="shared" si="46"/>
        <v>-2.1370013419491338E-2</v>
      </c>
      <c r="D54" s="160">
        <f t="shared" si="47"/>
        <v>-1.6122234449313998E-2</v>
      </c>
      <c r="E54" s="50" t="s">
        <v>342</v>
      </c>
      <c r="F54" s="119">
        <f>(F67/SUM(F72:F74))*100%</f>
        <v>-1.0027364871184411E-2</v>
      </c>
      <c r="G54" s="119">
        <f t="shared" ref="G54:K54" si="50">(G67/SUM(G72:G74))*100%</f>
        <v>-1.0222989099515837E-2</v>
      </c>
      <c r="H54" s="119">
        <f t="shared" si="50"/>
        <v>-2.2021479799112162E-2</v>
      </c>
      <c r="I54" s="119">
        <f t="shared" si="50"/>
        <v>-8.4854878026400599E-2</v>
      </c>
      <c r="J54" s="119">
        <f t="shared" si="50"/>
        <v>-2.3563771035747076E-2</v>
      </c>
      <c r="K54" s="120">
        <f t="shared" si="50"/>
        <v>2.2470402315012079E-2</v>
      </c>
    </row>
    <row r="55" spans="1:11" s="43" customFormat="1" ht="13.2" x14ac:dyDescent="0.25">
      <c r="A55" s="139">
        <f t="shared" si="44"/>
        <v>-6.4238341803051741E-2</v>
      </c>
      <c r="B55" s="139">
        <f t="shared" si="45"/>
        <v>5.4428082422638885E-2</v>
      </c>
      <c r="C55" s="160">
        <f t="shared" si="46"/>
        <v>-5.7788260689197249E-4</v>
      </c>
      <c r="D55" s="160">
        <f t="shared" si="47"/>
        <v>3.7963739762967167E-3</v>
      </c>
      <c r="E55" s="50" t="s">
        <v>343</v>
      </c>
      <c r="F55" s="119">
        <f>((F72-F76)/F76)*100%</f>
        <v>4.0633584046588381E-3</v>
      </c>
      <c r="G55" s="119">
        <f t="shared" ref="G55:K57" si="51">((G72-G76)/G76)*100%</f>
        <v>4.4016033922214988E-3</v>
      </c>
      <c r="H55" s="119">
        <f t="shared" si="51"/>
        <v>-5.6513876057539079E-3</v>
      </c>
      <c r="I55" s="119">
        <f t="shared" si="51"/>
        <v>-6.4238341803051741E-2</v>
      </c>
      <c r="J55" s="119">
        <f t="shared" si="51"/>
        <v>3.5293895479345948E-3</v>
      </c>
      <c r="K55" s="120">
        <f t="shared" si="51"/>
        <v>5.4428082422638885E-2</v>
      </c>
    </row>
    <row r="56" spans="1:11" s="43" customFormat="1" ht="13.2" x14ac:dyDescent="0.25">
      <c r="A56" s="139">
        <f t="shared" si="44"/>
        <v>-0.41113869155498312</v>
      </c>
      <c r="B56" s="139">
        <f t="shared" si="45"/>
        <v>-2.9096802303189291E-2</v>
      </c>
      <c r="C56" s="160">
        <f t="shared" si="46"/>
        <v>-0.29377343084116625</v>
      </c>
      <c r="D56" s="160">
        <f t="shared" si="47"/>
        <v>-0.32599678350870887</v>
      </c>
      <c r="E56" s="50" t="s">
        <v>344</v>
      </c>
      <c r="F56" s="119">
        <f>((F73-F77)/F77)*100%</f>
        <v>-2.9096802303189291E-2</v>
      </c>
      <c r="G56" s="119">
        <f t="shared" si="51"/>
        <v>-0.29436284195603923</v>
      </c>
      <c r="H56" s="119">
        <f t="shared" si="51"/>
        <v>-0.31174188941935976</v>
      </c>
      <c r="I56" s="119">
        <f t="shared" si="51"/>
        <v>-0.34025167759805791</v>
      </c>
      <c r="J56" s="119">
        <f t="shared" si="51"/>
        <v>-0.37604868221536825</v>
      </c>
      <c r="K56" s="120">
        <f t="shared" si="51"/>
        <v>-0.41113869155498312</v>
      </c>
    </row>
    <row r="57" spans="1:11" s="43" customFormat="1" ht="13.2" x14ac:dyDescent="0.25">
      <c r="A57" s="139">
        <f t="shared" si="44"/>
        <v>-1</v>
      </c>
      <c r="B57" s="139">
        <f t="shared" si="45"/>
        <v>-0.15491824709357124</v>
      </c>
      <c r="C57" s="160">
        <f t="shared" si="46"/>
        <v>-0.83098364941871417</v>
      </c>
      <c r="D57" s="160">
        <f t="shared" si="47"/>
        <v>-1</v>
      </c>
      <c r="E57" s="50" t="s">
        <v>346</v>
      </c>
      <c r="F57" s="119">
        <f>((F74-F78)/F78)*100%</f>
        <v>-1</v>
      </c>
      <c r="G57" s="119">
        <f t="shared" si="51"/>
        <v>-1</v>
      </c>
      <c r="H57" s="119">
        <f t="shared" si="51"/>
        <v>-1</v>
      </c>
      <c r="I57" s="119">
        <f t="shared" si="51"/>
        <v>-1</v>
      </c>
      <c r="J57" s="119">
        <f t="shared" si="51"/>
        <v>-0.15491824709357124</v>
      </c>
      <c r="K57" s="178"/>
    </row>
    <row r="58" spans="1:11" s="43" customFormat="1" ht="13.2" x14ac:dyDescent="0.25">
      <c r="A58" s="139">
        <f t="shared" si="44"/>
        <v>-4.9694729720963608E-2</v>
      </c>
      <c r="B58" s="139">
        <f t="shared" si="45"/>
        <v>3.7850042112767386E-2</v>
      </c>
      <c r="C58" s="155">
        <f t="shared" si="46"/>
        <v>3.7977061776454323E-3</v>
      </c>
      <c r="D58" s="156">
        <f t="shared" si="47"/>
        <v>9.3846176978743326E-3</v>
      </c>
      <c r="E58" s="50" t="s">
        <v>356</v>
      </c>
      <c r="F58" s="71">
        <f>F68/(F70+F71+F72+F73+F74+F75)</f>
        <v>2.5043924010747579E-2</v>
      </c>
      <c r="G58" s="71">
        <f t="shared" ref="G58:K58" si="52">G68/(G70+G71+G72+G73+G74)</f>
        <v>1.811406810226715E-2</v>
      </c>
      <c r="H58" s="71">
        <f t="shared" si="52"/>
        <v>6.5516729348151764E-4</v>
      </c>
      <c r="I58" s="71">
        <f t="shared" si="52"/>
        <v>-4.9694729720963608E-2</v>
      </c>
      <c r="J58" s="71">
        <f t="shared" si="52"/>
        <v>-9.1822347324274269E-3</v>
      </c>
      <c r="K58" s="72">
        <f t="shared" si="52"/>
        <v>3.7850042112767386E-2</v>
      </c>
    </row>
    <row r="59" spans="1:11" s="43" customFormat="1" ht="13.2" x14ac:dyDescent="0.25">
      <c r="A59" s="139">
        <f t="shared" si="44"/>
        <v>-4.9694729720963608E-2</v>
      </c>
      <c r="B59" s="139">
        <f t="shared" si="45"/>
        <v>3.7850042112767386E-2</v>
      </c>
      <c r="C59" s="155">
        <f t="shared" si="46"/>
        <v>3.7977061776454323E-3</v>
      </c>
      <c r="D59" s="156">
        <f t="shared" si="47"/>
        <v>9.3846176978743326E-3</v>
      </c>
      <c r="E59" s="50" t="s">
        <v>361</v>
      </c>
      <c r="F59" s="71">
        <f>F69/(F70+F71+F72+F73+F74+F75)</f>
        <v>2.5043924010747579E-2</v>
      </c>
      <c r="G59" s="71">
        <f t="shared" ref="G59:K59" si="53">G69/(G70+G71+G72+G73+G74+G75)</f>
        <v>1.811406810226715E-2</v>
      </c>
      <c r="H59" s="71">
        <f t="shared" si="53"/>
        <v>6.5516729348151764E-4</v>
      </c>
      <c r="I59" s="71">
        <f t="shared" si="53"/>
        <v>-4.9694729720963608E-2</v>
      </c>
      <c r="J59" s="71">
        <f t="shared" si="53"/>
        <v>-9.1822347324274269E-3</v>
      </c>
      <c r="K59" s="72">
        <f t="shared" si="53"/>
        <v>3.7850042112767386E-2</v>
      </c>
    </row>
    <row r="60" spans="1:11" s="43" customFormat="1" ht="26.4" x14ac:dyDescent="0.25">
      <c r="A60" s="139">
        <f t="shared" si="44"/>
        <v>-7.178204712907614E-2</v>
      </c>
      <c r="B60" s="139">
        <f t="shared" si="45"/>
        <v>1.6630642458016251E-2</v>
      </c>
      <c r="C60" s="160">
        <f t="shared" si="46"/>
        <v>-1.6471569575103335E-2</v>
      </c>
      <c r="D60" s="160">
        <f t="shared" si="47"/>
        <v>-1.5123643353058009E-2</v>
      </c>
      <c r="E60" s="50" t="s">
        <v>372</v>
      </c>
      <c r="F60" s="119">
        <f>F65/F79*100%</f>
        <v>8.1271169421657623E-3</v>
      </c>
      <c r="G60" s="119">
        <f t="shared" ref="G60:K60" si="54">G65/G79*100%</f>
        <v>-1.1551299978937472E-2</v>
      </c>
      <c r="H60" s="119">
        <f t="shared" si="54"/>
        <v>-2.1557843015609871E-2</v>
      </c>
      <c r="I60" s="119">
        <f t="shared" si="54"/>
        <v>-7.178204712907614E-2</v>
      </c>
      <c r="J60" s="119">
        <f t="shared" si="54"/>
        <v>-1.8695986727178544E-2</v>
      </c>
      <c r="K60" s="120">
        <f t="shared" si="54"/>
        <v>1.6630642458016251E-2</v>
      </c>
    </row>
    <row r="61" spans="1:11" s="43" customFormat="1" ht="13.2" x14ac:dyDescent="0.25">
      <c r="A61" s="139">
        <f t="shared" si="44"/>
        <v>-4.5541611225269833E-2</v>
      </c>
      <c r="B61" s="139">
        <f t="shared" si="45"/>
        <v>3.7545650604764343E-2</v>
      </c>
      <c r="C61" s="155">
        <f t="shared" si="46"/>
        <v>5.9961827104187092E-3</v>
      </c>
      <c r="D61" s="156">
        <f t="shared" si="47"/>
        <v>1.1462979426300415E-2</v>
      </c>
      <c r="E61" s="50" t="s">
        <v>373</v>
      </c>
      <c r="F61" s="71">
        <f>F69/F79</f>
        <v>3.7545650604764343E-2</v>
      </c>
      <c r="G61" s="71">
        <f t="shared" ref="G61:K61" si="55">G69/G79</f>
        <v>2.2246416817855622E-2</v>
      </c>
      <c r="H61" s="71">
        <f t="shared" si="55"/>
        <v>6.7954203474520595E-4</v>
      </c>
      <c r="I61" s="71">
        <f t="shared" si="55"/>
        <v>-4.5541611225269833E-2</v>
      </c>
      <c r="J61" s="71">
        <f t="shared" si="55"/>
        <v>-7.4140255097510941E-3</v>
      </c>
      <c r="K61" s="72">
        <f t="shared" si="55"/>
        <v>2.8461123540168016E-2</v>
      </c>
    </row>
    <row r="62" spans="1:11" s="43" customFormat="1" ht="13.2" x14ac:dyDescent="0.25">
      <c r="A62" s="139">
        <f t="shared" si="44"/>
        <v>0</v>
      </c>
      <c r="B62" s="139">
        <f t="shared" si="45"/>
        <v>6.0415022724948045E-2</v>
      </c>
      <c r="C62" s="155">
        <f t="shared" si="46"/>
        <v>1.0452592331408604E-2</v>
      </c>
      <c r="D62" s="156">
        <f t="shared" si="47"/>
        <v>9.6175258548872572E-5</v>
      </c>
      <c r="E62" s="50" t="s">
        <v>374</v>
      </c>
      <c r="F62" s="71">
        <f>F69/F80</f>
        <v>6.0415022724948045E-2</v>
      </c>
      <c r="G62" s="71">
        <f>G66/G80</f>
        <v>5.3716048548027691E-5</v>
      </c>
      <c r="H62" s="71">
        <f>H66/H80</f>
        <v>1.3863446854971747E-4</v>
      </c>
      <c r="I62" s="71">
        <f>I66/I80</f>
        <v>2.1081807464058224E-3</v>
      </c>
      <c r="J62" s="71">
        <f>J66/J80</f>
        <v>0</v>
      </c>
      <c r="K62" s="72">
        <f>K66/K80</f>
        <v>0</v>
      </c>
    </row>
    <row r="63" spans="1:11" s="43" customFormat="1" ht="13.8" thickBot="1" x14ac:dyDescent="0.3">
      <c r="A63" s="139">
        <f t="shared" si="44"/>
        <v>-0.11131789374460425</v>
      </c>
      <c r="B63" s="139">
        <f t="shared" si="45"/>
        <v>3.0694349015264747E-2</v>
      </c>
      <c r="C63" s="155">
        <f t="shared" si="46"/>
        <v>-2.5503574019714228E-2</v>
      </c>
      <c r="D63" s="156">
        <f t="shared" si="47"/>
        <v>-2.5642493104681273E-2</v>
      </c>
      <c r="E63" s="51" t="s">
        <v>302</v>
      </c>
      <c r="F63" s="73">
        <f t="shared" ref="F63:K63" si="56">F65/(F80+F81)</f>
        <v>1.2779675166868962E-2</v>
      </c>
      <c r="G63" s="73">
        <f t="shared" si="56"/>
        <v>-1.8194488173207391E-2</v>
      </c>
      <c r="H63" s="73">
        <f t="shared" si="56"/>
        <v>-3.3090498036155158E-2</v>
      </c>
      <c r="I63" s="73">
        <f t="shared" si="56"/>
        <v>-0.11131789374460425</v>
      </c>
      <c r="J63" s="73">
        <f t="shared" si="56"/>
        <v>-3.3892588346452257E-2</v>
      </c>
      <c r="K63" s="74">
        <f t="shared" si="56"/>
        <v>3.0694349015264747E-2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54583.46</v>
      </c>
      <c r="G65" s="76">
        <f t="shared" ref="G65:K65" si="57">G97</f>
        <v>-73544.320000000007</v>
      </c>
      <c r="H65" s="76">
        <f t="shared" si="57"/>
        <v>-130806.93</v>
      </c>
      <c r="I65" s="76">
        <f t="shared" si="57"/>
        <v>-421300.52</v>
      </c>
      <c r="J65" s="76">
        <f t="shared" si="57"/>
        <v>-107460.45</v>
      </c>
      <c r="K65" s="76">
        <f t="shared" si="57"/>
        <v>98628.07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147337.04</v>
      </c>
      <c r="G66" s="76">
        <f t="shared" ref="G66:K66" si="58">G95</f>
        <v>210.67</v>
      </c>
      <c r="H66" s="76">
        <f t="shared" si="58"/>
        <v>524.15</v>
      </c>
      <c r="I66" s="76">
        <f t="shared" si="58"/>
        <v>7978.75</v>
      </c>
      <c r="J66" s="76">
        <f t="shared" si="58"/>
        <v>0</v>
      </c>
      <c r="K66" s="76">
        <f t="shared" si="58"/>
        <v>0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-92753.58</v>
      </c>
      <c r="G67" s="76">
        <f t="shared" ref="G67:K67" si="59">G92</f>
        <v>-73754.990000000005</v>
      </c>
      <c r="H67" s="76">
        <f t="shared" si="59"/>
        <v>-131331.07999999999</v>
      </c>
      <c r="I67" s="76">
        <f t="shared" si="59"/>
        <v>-429279.27</v>
      </c>
      <c r="J67" s="76">
        <f t="shared" si="59"/>
        <v>-107460.45</v>
      </c>
      <c r="K67" s="76">
        <f t="shared" si="59"/>
        <v>98628.07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252164.64</v>
      </c>
      <c r="G68" s="76">
        <f t="shared" ref="G68:K68" si="60">G102</f>
        <v>141637.53</v>
      </c>
      <c r="H68" s="76">
        <f t="shared" si="60"/>
        <v>4123.2700000000004</v>
      </c>
      <c r="I68" s="76">
        <f t="shared" si="60"/>
        <v>-267291.13</v>
      </c>
      <c r="J68" s="76">
        <f t="shared" si="60"/>
        <v>-42614.2</v>
      </c>
      <c r="K68" s="76">
        <f t="shared" si="60"/>
        <v>168788.77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252164.64</v>
      </c>
      <c r="G69" s="76">
        <f t="shared" ref="G69:K69" si="61">G104</f>
        <v>141637.53</v>
      </c>
      <c r="H69" s="76">
        <f t="shared" si="61"/>
        <v>4123.2700000000004</v>
      </c>
      <c r="I69" s="76">
        <f t="shared" si="61"/>
        <v>-267291.13</v>
      </c>
      <c r="J69" s="76">
        <f t="shared" si="61"/>
        <v>-42614.2</v>
      </c>
      <c r="K69" s="76">
        <f t="shared" si="61"/>
        <v>168788.77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618942.71</v>
      </c>
      <c r="G70" s="76">
        <f t="shared" ref="G70:K70" si="62">G93</f>
        <v>369952.83</v>
      </c>
      <c r="H70" s="76">
        <f t="shared" si="62"/>
        <v>194390.3</v>
      </c>
      <c r="I70" s="76">
        <f t="shared" si="62"/>
        <v>165310.48000000001</v>
      </c>
      <c r="J70" s="76">
        <f t="shared" si="62"/>
        <v>15608</v>
      </c>
      <c r="K70" s="76">
        <f t="shared" si="62"/>
        <v>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199906.87</v>
      </c>
      <c r="G71" s="76">
        <f t="shared" ref="G71:K71" si="63">G98</f>
        <v>234626.83</v>
      </c>
      <c r="H71" s="76">
        <f t="shared" si="63"/>
        <v>135299.20000000001</v>
      </c>
      <c r="I71" s="76">
        <f t="shared" si="63"/>
        <v>154369.39000000001</v>
      </c>
      <c r="J71" s="76">
        <f t="shared" si="63"/>
        <v>64922.25</v>
      </c>
      <c r="K71" s="76">
        <f t="shared" si="63"/>
        <v>70164.100000000006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8574824.4399999995</v>
      </c>
      <c r="G72" s="76">
        <f t="shared" ref="G72:K74" si="64">G85</f>
        <v>7081450.2800000003</v>
      </c>
      <c r="H72" s="76">
        <f t="shared" si="64"/>
        <v>5858393.0999999996</v>
      </c>
      <c r="I72" s="76">
        <f t="shared" si="64"/>
        <v>4960165.7699999996</v>
      </c>
      <c r="J72" s="76">
        <f t="shared" si="64"/>
        <v>4256599.0599999996</v>
      </c>
      <c r="K72" s="76">
        <f t="shared" si="64"/>
        <v>4218616.08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675220.93</v>
      </c>
      <c r="G73" s="76">
        <f t="shared" si="64"/>
        <v>133170.54</v>
      </c>
      <c r="H73" s="76">
        <f t="shared" si="64"/>
        <v>105378.69</v>
      </c>
      <c r="I73" s="76">
        <f t="shared" si="64"/>
        <v>98815.87</v>
      </c>
      <c r="J73" s="76">
        <f t="shared" si="64"/>
        <v>159135.72</v>
      </c>
      <c r="K73" s="76">
        <f t="shared" si="64"/>
        <v>170627.54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144674.92000000001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8540122.8599999994</v>
      </c>
      <c r="G76" s="76">
        <f t="shared" ref="G76:K78" si="66">G89</f>
        <v>7050417.1399999997</v>
      </c>
      <c r="H76" s="76">
        <f t="shared" si="66"/>
        <v>5891689.3200000003</v>
      </c>
      <c r="I76" s="76">
        <f t="shared" si="66"/>
        <v>5300672.16</v>
      </c>
      <c r="J76" s="76">
        <f t="shared" si="66"/>
        <v>4241628.7</v>
      </c>
      <c r="K76" s="76">
        <f t="shared" si="66"/>
        <v>4000857.1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695456.49</v>
      </c>
      <c r="G77" s="76">
        <f t="shared" si="66"/>
        <v>188723.82</v>
      </c>
      <c r="H77" s="76">
        <f t="shared" si="66"/>
        <v>153109.26</v>
      </c>
      <c r="I77" s="76">
        <f t="shared" si="66"/>
        <v>149778.13</v>
      </c>
      <c r="J77" s="76">
        <f t="shared" si="66"/>
        <v>255045.09</v>
      </c>
      <c r="K77" s="76">
        <f t="shared" si="66"/>
        <v>289758.45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107219.6</v>
      </c>
      <c r="G78" s="76">
        <f t="shared" si="66"/>
        <v>49234.85</v>
      </c>
      <c r="H78" s="76">
        <f t="shared" si="66"/>
        <v>50304.29</v>
      </c>
      <c r="I78" s="76">
        <f t="shared" si="66"/>
        <v>37810.620000000003</v>
      </c>
      <c r="J78" s="76">
        <f t="shared" si="66"/>
        <v>171196.36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6716214.4199999999</v>
      </c>
      <c r="G79" s="76">
        <f t="shared" ref="G79:K79" si="67">G120</f>
        <v>6366757</v>
      </c>
      <c r="H79" s="76">
        <f t="shared" si="67"/>
        <v>6067718.8300000001</v>
      </c>
      <c r="I79" s="76">
        <f t="shared" si="67"/>
        <v>5869162.79</v>
      </c>
      <c r="J79" s="76">
        <f t="shared" si="67"/>
        <v>5747781.6799999997</v>
      </c>
      <c r="K79" s="76">
        <f t="shared" si="67"/>
        <v>5930502.7000000002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4173873.13</v>
      </c>
      <c r="G80" s="76">
        <f t="shared" ref="G80:K80" si="68">G122</f>
        <v>3921919.16</v>
      </c>
      <c r="H80" s="76">
        <f t="shared" si="68"/>
        <v>3780805.78</v>
      </c>
      <c r="I80" s="76">
        <f t="shared" si="68"/>
        <v>3784661.26</v>
      </c>
      <c r="J80" s="76">
        <f t="shared" si="68"/>
        <v>3170617.98</v>
      </c>
      <c r="K80" s="76">
        <f t="shared" si="68"/>
        <v>3213232.18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97241.69</v>
      </c>
      <c r="G81" s="76">
        <f t="shared" ref="G81:K81" si="69">G129</f>
        <v>120201.69</v>
      </c>
      <c r="H81" s="76">
        <f t="shared" si="69"/>
        <v>172200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9250045.3699999992</v>
      </c>
      <c r="G84" s="90">
        <v>7214620.8200000003</v>
      </c>
      <c r="H84" s="90">
        <v>5963771.79</v>
      </c>
      <c r="I84" s="90">
        <v>5058981.6399999997</v>
      </c>
      <c r="J84" s="90">
        <v>4560409.7</v>
      </c>
      <c r="K84" s="90">
        <v>4389243.62</v>
      </c>
    </row>
    <row r="85" spans="3:11" x14ac:dyDescent="0.3">
      <c r="E85" s="11" t="s">
        <v>3</v>
      </c>
      <c r="F85" s="90">
        <v>8574824.4399999995</v>
      </c>
      <c r="G85" s="90">
        <v>7081450.2800000003</v>
      </c>
      <c r="H85" s="90">
        <v>5858393.0999999996</v>
      </c>
      <c r="I85" s="90">
        <v>4960165.7699999996</v>
      </c>
      <c r="J85" s="90">
        <v>4256599.0599999996</v>
      </c>
      <c r="K85" s="90">
        <v>4218616.08</v>
      </c>
    </row>
    <row r="86" spans="3:11" x14ac:dyDescent="0.3">
      <c r="E86" s="11" t="s">
        <v>4</v>
      </c>
      <c r="F86" s="90">
        <v>675220.93</v>
      </c>
      <c r="G86" s="90">
        <v>133170.54</v>
      </c>
      <c r="H86" s="90">
        <v>105378.69</v>
      </c>
      <c r="I86" s="90">
        <v>98815.87</v>
      </c>
      <c r="J86" s="90">
        <v>159135.72</v>
      </c>
      <c r="K86" s="90">
        <v>170627.54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144674.92000000001</v>
      </c>
      <c r="K87" s="107">
        <v>0</v>
      </c>
    </row>
    <row r="88" spans="3:11" x14ac:dyDescent="0.3">
      <c r="E88" s="11" t="s">
        <v>6</v>
      </c>
      <c r="F88" s="90">
        <v>9342798.9499999993</v>
      </c>
      <c r="G88" s="90">
        <v>7288375.8099999996</v>
      </c>
      <c r="H88" s="90">
        <v>6095102.8700000001</v>
      </c>
      <c r="I88" s="90">
        <v>5488260.9100000001</v>
      </c>
      <c r="J88" s="90">
        <v>4667870.1500000004</v>
      </c>
      <c r="K88" s="90">
        <v>4290615.55</v>
      </c>
    </row>
    <row r="89" spans="3:11" x14ac:dyDescent="0.3">
      <c r="E89" s="11" t="s">
        <v>7</v>
      </c>
      <c r="F89" s="90">
        <v>8540122.8599999994</v>
      </c>
      <c r="G89" s="90">
        <v>7050417.1399999997</v>
      </c>
      <c r="H89" s="90">
        <v>5891689.3200000003</v>
      </c>
      <c r="I89" s="90">
        <v>5300672.16</v>
      </c>
      <c r="J89" s="90">
        <v>4241628.7</v>
      </c>
      <c r="K89" s="90">
        <v>4000857.1</v>
      </c>
    </row>
    <row r="90" spans="3:11" x14ac:dyDescent="0.3">
      <c r="E90" s="11" t="s">
        <v>8</v>
      </c>
      <c r="F90" s="90">
        <v>695456.49</v>
      </c>
      <c r="G90" s="90">
        <v>188723.82</v>
      </c>
      <c r="H90" s="90">
        <v>153109.26</v>
      </c>
      <c r="I90" s="90">
        <v>149778.13</v>
      </c>
      <c r="J90" s="90">
        <v>255045.09</v>
      </c>
      <c r="K90" s="90">
        <v>289758.45</v>
      </c>
    </row>
    <row r="91" spans="3:11" x14ac:dyDescent="0.3">
      <c r="E91" s="11" t="s">
        <v>9</v>
      </c>
      <c r="F91" s="90">
        <v>107219.6</v>
      </c>
      <c r="G91" s="90">
        <v>49234.85</v>
      </c>
      <c r="H91" s="90">
        <v>50304.29</v>
      </c>
      <c r="I91" s="90">
        <v>37810.620000000003</v>
      </c>
      <c r="J91" s="90">
        <v>171196.36</v>
      </c>
      <c r="K91" s="107">
        <v>0</v>
      </c>
    </row>
    <row r="92" spans="3:11" x14ac:dyDescent="0.3">
      <c r="E92" s="11" t="s">
        <v>10</v>
      </c>
      <c r="F92" s="90">
        <v>-92753.58</v>
      </c>
      <c r="G92" s="90">
        <v>-73754.990000000005</v>
      </c>
      <c r="H92" s="90">
        <v>-131331.07999999999</v>
      </c>
      <c r="I92" s="90">
        <v>-429279.27</v>
      </c>
      <c r="J92" s="90">
        <v>-107460.45</v>
      </c>
      <c r="K92" s="90">
        <v>98628.07</v>
      </c>
    </row>
    <row r="93" spans="3:11" x14ac:dyDescent="0.3">
      <c r="E93" s="11" t="s">
        <v>11</v>
      </c>
      <c r="F93" s="90">
        <v>618942.71</v>
      </c>
      <c r="G93" s="90">
        <v>369952.83</v>
      </c>
      <c r="H93" s="90">
        <v>194390.3</v>
      </c>
      <c r="I93" s="90">
        <v>165310.48000000001</v>
      </c>
      <c r="J93" s="90">
        <v>15608</v>
      </c>
      <c r="K93" s="107">
        <v>0</v>
      </c>
    </row>
    <row r="94" spans="3:11" x14ac:dyDescent="0.3">
      <c r="E94" s="11" t="s">
        <v>12</v>
      </c>
      <c r="F94" s="90">
        <v>471605.67</v>
      </c>
      <c r="G94" s="90">
        <v>369742.16</v>
      </c>
      <c r="H94" s="90">
        <v>193866.15</v>
      </c>
      <c r="I94" s="90">
        <v>157331.73000000001</v>
      </c>
      <c r="J94" s="90">
        <v>15608</v>
      </c>
      <c r="K94" s="107">
        <v>0</v>
      </c>
    </row>
    <row r="95" spans="3:11" x14ac:dyDescent="0.3">
      <c r="E95" s="11" t="s">
        <v>13</v>
      </c>
      <c r="F95" s="90">
        <v>147337.04</v>
      </c>
      <c r="G95" s="107">
        <v>210.67</v>
      </c>
      <c r="H95" s="107">
        <v>524.15</v>
      </c>
      <c r="I95" s="90">
        <v>7978.75</v>
      </c>
      <c r="J95" s="107">
        <v>0</v>
      </c>
      <c r="K95" s="107">
        <v>0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54583.46</v>
      </c>
      <c r="G97" s="90">
        <v>-73544.320000000007</v>
      </c>
      <c r="H97" s="90">
        <v>-130806.93</v>
      </c>
      <c r="I97" s="90">
        <v>-421300.52</v>
      </c>
      <c r="J97" s="90">
        <v>-107460.45</v>
      </c>
      <c r="K97" s="90">
        <v>98628.07</v>
      </c>
    </row>
    <row r="98" spans="5:11" x14ac:dyDescent="0.3">
      <c r="E98" s="11" t="s">
        <v>16</v>
      </c>
      <c r="F98" s="90">
        <v>199906.87</v>
      </c>
      <c r="G98" s="90">
        <v>234626.83</v>
      </c>
      <c r="H98" s="90">
        <v>135299.20000000001</v>
      </c>
      <c r="I98" s="90">
        <v>154369.39000000001</v>
      </c>
      <c r="J98" s="90">
        <v>64922.25</v>
      </c>
      <c r="K98" s="90">
        <v>70164.100000000006</v>
      </c>
    </row>
    <row r="99" spans="5:11" x14ac:dyDescent="0.3">
      <c r="E99" s="11" t="s">
        <v>17</v>
      </c>
      <c r="F99" s="90">
        <v>1540.91</v>
      </c>
      <c r="G99" s="90">
        <v>18663</v>
      </c>
      <c r="H99" s="107">
        <v>0</v>
      </c>
      <c r="I99" s="107">
        <v>0</v>
      </c>
      <c r="J99" s="107">
        <v>0</v>
      </c>
      <c r="K99" s="107">
        <v>0</v>
      </c>
    </row>
    <row r="100" spans="5:11" x14ac:dyDescent="0.3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107">
        <v>0</v>
      </c>
      <c r="K100" s="107">
        <v>0</v>
      </c>
    </row>
    <row r="101" spans="5:11" x14ac:dyDescent="0.3">
      <c r="E101" s="11" t="s">
        <v>19</v>
      </c>
      <c r="F101" s="107">
        <v>784.78</v>
      </c>
      <c r="G101" s="107">
        <v>781.98</v>
      </c>
      <c r="H101" s="107">
        <v>369</v>
      </c>
      <c r="I101" s="107">
        <v>360</v>
      </c>
      <c r="J101" s="107">
        <v>76</v>
      </c>
      <c r="K101" s="107">
        <v>3.4</v>
      </c>
    </row>
    <row r="102" spans="5:11" x14ac:dyDescent="0.3">
      <c r="E102" s="11" t="s">
        <v>20</v>
      </c>
      <c r="F102" s="90">
        <v>252164.64</v>
      </c>
      <c r="G102" s="90">
        <v>141637.53</v>
      </c>
      <c r="H102" s="90">
        <v>4123.2700000000004</v>
      </c>
      <c r="I102" s="90">
        <v>-267291.13</v>
      </c>
      <c r="J102" s="90">
        <v>-42614.2</v>
      </c>
      <c r="K102" s="90">
        <v>168788.77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252164.64</v>
      </c>
      <c r="G104" s="90">
        <v>141637.53</v>
      </c>
      <c r="H104" s="90">
        <v>4123.2700000000004</v>
      </c>
      <c r="I104" s="90">
        <v>-267291.13</v>
      </c>
      <c r="J104" s="90">
        <v>-42614.2</v>
      </c>
      <c r="K104" s="90">
        <v>168788.77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4957236.62</v>
      </c>
      <c r="G108" s="90">
        <v>5166957.6500000004</v>
      </c>
      <c r="H108" s="90">
        <v>5121816.1100000003</v>
      </c>
      <c r="I108" s="90">
        <v>4999902.2300000004</v>
      </c>
      <c r="J108" s="90">
        <v>5286696.7699999996</v>
      </c>
      <c r="K108" s="90">
        <v>5063978.53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4957236.62</v>
      </c>
      <c r="G110" s="90">
        <v>5166957.6500000004</v>
      </c>
      <c r="H110" s="90">
        <v>5121816.1100000003</v>
      </c>
      <c r="I110" s="90">
        <v>4999902.2300000004</v>
      </c>
      <c r="J110" s="90">
        <v>5286696.7699999996</v>
      </c>
      <c r="K110" s="90">
        <v>5063978.53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1758977.8</v>
      </c>
      <c r="G114" s="90">
        <v>1199799.3500000001</v>
      </c>
      <c r="H114" s="90">
        <v>945902.72</v>
      </c>
      <c r="I114" s="90">
        <v>869260.56</v>
      </c>
      <c r="J114" s="90">
        <v>461084.91</v>
      </c>
      <c r="K114" s="90">
        <v>866524.17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18591.13</v>
      </c>
      <c r="G116" s="90">
        <v>5658.12</v>
      </c>
      <c r="H116" s="90">
        <v>18139.43</v>
      </c>
      <c r="I116" s="90">
        <v>5749.43</v>
      </c>
      <c r="J116" s="90">
        <v>18326.23</v>
      </c>
      <c r="K116" s="90">
        <v>58597.21</v>
      </c>
    </row>
    <row r="117" spans="5:11" ht="15" customHeight="1" x14ac:dyDescent="0.3">
      <c r="E117" s="8" t="s">
        <v>36</v>
      </c>
      <c r="F117" s="90">
        <v>1740386.67</v>
      </c>
      <c r="G117" s="90">
        <v>1194141.23</v>
      </c>
      <c r="H117" s="90">
        <v>927763.29</v>
      </c>
      <c r="I117" s="90">
        <v>863511.13</v>
      </c>
      <c r="J117" s="90">
        <v>442758.68</v>
      </c>
      <c r="K117" s="90">
        <v>807926.96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6716214.4199999999</v>
      </c>
      <c r="G120" s="90">
        <v>6366757</v>
      </c>
      <c r="H120" s="90">
        <v>6067718.8300000001</v>
      </c>
      <c r="I120" s="90">
        <v>5869162.79</v>
      </c>
      <c r="J120" s="90">
        <v>5747781.6799999997</v>
      </c>
      <c r="K120" s="90">
        <v>5930502.7000000002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4173873.13</v>
      </c>
      <c r="G122" s="90">
        <v>3921919.16</v>
      </c>
      <c r="H122" s="90">
        <v>3780805.78</v>
      </c>
      <c r="I122" s="90">
        <v>3784661.26</v>
      </c>
      <c r="J122" s="90">
        <v>3170617.98</v>
      </c>
      <c r="K122" s="90">
        <v>3213232.18</v>
      </c>
    </row>
    <row r="123" spans="5:11" x14ac:dyDescent="0.3">
      <c r="E123" s="8" t="s">
        <v>42</v>
      </c>
      <c r="F123" s="90">
        <v>3921708.49</v>
      </c>
      <c r="G123" s="90">
        <v>3780281.63</v>
      </c>
      <c r="H123" s="90">
        <v>3776682.51</v>
      </c>
      <c r="I123" s="90">
        <v>4051952.39</v>
      </c>
      <c r="J123" s="90">
        <v>3213232.18</v>
      </c>
      <c r="K123" s="90">
        <v>3044443.41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252164.64</v>
      </c>
      <c r="G126" s="90">
        <v>141637.53</v>
      </c>
      <c r="H126" s="90">
        <v>4123.2700000000004</v>
      </c>
      <c r="I126" s="90">
        <v>-267291.13</v>
      </c>
      <c r="J126" s="90">
        <v>-42614.2</v>
      </c>
      <c r="K126" s="90">
        <v>168788.77</v>
      </c>
    </row>
    <row r="127" spans="5:11" ht="15" customHeight="1" x14ac:dyDescent="0.3">
      <c r="E127" s="18" t="s">
        <v>91</v>
      </c>
      <c r="F127" s="90">
        <v>2542341.29</v>
      </c>
      <c r="G127" s="90">
        <v>2444837.84</v>
      </c>
      <c r="H127" s="90">
        <v>2286913.0499999998</v>
      </c>
      <c r="I127" s="90">
        <v>2084501.53</v>
      </c>
      <c r="J127" s="90">
        <v>2577163.7000000002</v>
      </c>
      <c r="K127" s="90">
        <v>2717270.52</v>
      </c>
    </row>
    <row r="128" spans="5:11" ht="15" customHeight="1" x14ac:dyDescent="0.3">
      <c r="E128" s="8" t="s">
        <v>46</v>
      </c>
      <c r="F128" s="90">
        <v>425377.81</v>
      </c>
      <c r="G128" s="90">
        <v>318158.21000000002</v>
      </c>
      <c r="H128" s="90">
        <v>268923.36</v>
      </c>
      <c r="I128" s="90">
        <v>218619.07</v>
      </c>
      <c r="J128" s="90">
        <v>180808.45</v>
      </c>
      <c r="K128" s="90">
        <v>146095.99</v>
      </c>
    </row>
    <row r="129" spans="5:11" ht="15" customHeight="1" x14ac:dyDescent="0.3">
      <c r="E129" s="17" t="s">
        <v>89</v>
      </c>
      <c r="F129" s="90">
        <v>97241.69</v>
      </c>
      <c r="G129" s="90">
        <v>120201.69</v>
      </c>
      <c r="H129" s="90">
        <v>172200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260104.3</v>
      </c>
      <c r="G130" s="90">
        <v>202460.11</v>
      </c>
      <c r="H130" s="90">
        <v>149879.9</v>
      </c>
      <c r="I130" s="90">
        <v>85451.16</v>
      </c>
      <c r="J130" s="90">
        <v>27777.45</v>
      </c>
      <c r="K130" s="90">
        <v>61892.84</v>
      </c>
    </row>
    <row r="131" spans="5:11" ht="15" customHeight="1" x14ac:dyDescent="0.3">
      <c r="E131" s="17" t="s">
        <v>88</v>
      </c>
      <c r="F131" s="90">
        <v>1759617.49</v>
      </c>
      <c r="G131" s="90">
        <v>1804017.83</v>
      </c>
      <c r="H131" s="90">
        <v>1695909.79</v>
      </c>
      <c r="I131" s="90">
        <v>1780431.3</v>
      </c>
      <c r="J131" s="90">
        <v>2368577.7999999998</v>
      </c>
      <c r="K131" s="90">
        <v>2509281.69</v>
      </c>
    </row>
    <row r="132" spans="5:11" x14ac:dyDescent="0.3">
      <c r="E132" s="7" t="s">
        <v>47</v>
      </c>
      <c r="F132" s="90">
        <v>6716214.4199999999</v>
      </c>
      <c r="G132" s="90">
        <v>6366757</v>
      </c>
      <c r="H132" s="90">
        <v>6067718.8300000001</v>
      </c>
      <c r="I132" s="90">
        <v>5869162.79</v>
      </c>
      <c r="J132" s="90">
        <v>5747781.6799999997</v>
      </c>
      <c r="K132" s="90">
        <v>5930502.7000000002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36</vt:i4>
      </vt:variant>
      <vt:variant>
        <vt:lpstr>Nazwane zakresy</vt:lpstr>
      </vt:variant>
      <vt:variant>
        <vt:i4>1</vt:i4>
      </vt:variant>
    </vt:vector>
  </HeadingPairs>
  <TitlesOfParts>
    <vt:vector size="37" baseType="lpstr">
      <vt:lpstr>Sprawozdania wzór 1 porówn</vt:lpstr>
      <vt:lpstr>Prognoza wzór 1 porówn</vt:lpstr>
      <vt:lpstr>PSONI Rymanów</vt:lpstr>
      <vt:lpstr>PSONI Szczecin</vt:lpstr>
      <vt:lpstr>PSONI Gdańsk</vt:lpstr>
      <vt:lpstr>PSONI Krosno</vt:lpstr>
      <vt:lpstr>PSONI Stargard</vt:lpstr>
      <vt:lpstr>PSONI Gryf</vt:lpstr>
      <vt:lpstr>PSONI Dzierż</vt:lpstr>
      <vt:lpstr>BŻ Olsztyn</vt:lpstr>
      <vt:lpstr>F.Gos. Alber</vt:lpstr>
      <vt:lpstr>F.Car Kat</vt:lpstr>
      <vt:lpstr>Caritas B-Ż</vt:lpstr>
      <vt:lpstr>F.Integra</vt:lpstr>
      <vt:lpstr>F.Światło</vt:lpstr>
      <vt:lpstr>Rzesz T.Pom Alb</vt:lpstr>
      <vt:lpstr>F.AnnDymn</vt:lpstr>
      <vt:lpstr>F.Barka</vt:lpstr>
      <vt:lpstr>S.IW Barka</vt:lpstr>
      <vt:lpstr>S.PW Barka</vt:lpstr>
      <vt:lpstr>S. Konicz</vt:lpstr>
      <vt:lpstr>S. Teatr</vt:lpstr>
      <vt:lpstr>PZN</vt:lpstr>
      <vt:lpstr>PZN Kiel</vt:lpstr>
      <vt:lpstr>S.nr ON Razem</vt:lpstr>
      <vt:lpstr>SpS Opoka</vt:lpstr>
      <vt:lpstr>SpS Nadzieja</vt:lpstr>
      <vt:lpstr>Stow nR SpS</vt:lpstr>
      <vt:lpstr>SpS Kino</vt:lpstr>
      <vt:lpstr>SpS Arte</vt:lpstr>
      <vt:lpstr>SpS Serwis</vt:lpstr>
      <vt:lpstr>SpS Dalba</vt:lpstr>
      <vt:lpstr>SpS Progresum </vt:lpstr>
      <vt:lpstr>SpS Parasol</vt:lpstr>
      <vt:lpstr>SpS Samodz</vt:lpstr>
      <vt:lpstr>SpS Feniks</vt:lpstr>
      <vt:lpstr>'Prognoza wzór 1 porówn'!Obszar_wydruku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CZUCHRYTA</dc:creator>
  <cp:lastModifiedBy>Magdalena Czuchryta / TISE</cp:lastModifiedBy>
  <cp:lastPrinted>2025-09-25T13:49:12Z</cp:lastPrinted>
  <dcterms:created xsi:type="dcterms:W3CDTF">2025-03-23T07:28:16Z</dcterms:created>
  <dcterms:modified xsi:type="dcterms:W3CDTF">2025-09-25T14:00:00Z</dcterms:modified>
</cp:coreProperties>
</file>